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zHhWzEDLiD0qNnNmvTcQE42yf6A07G1DF2nw7hDJItmxGhhVU3+aYs5gYRS+14Q3UIEr4xx1PAiDUl8jEgzI6Q==" workbookSaltValue="jQhICHKG3g+9glP7S5l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C12" i="14"/>
  <c r="K12" i="14" s="1"/>
  <c r="AB13" i="21"/>
  <c r="BG10" i="8"/>
  <c r="B9" i="6"/>
  <c r="BL17" i="11"/>
  <c r="BH17" i="16"/>
  <c r="T9" i="11"/>
  <c r="V10" i="16"/>
  <c r="X15" i="16"/>
  <c r="X18" i="16" s="1"/>
  <c r="L17" i="2"/>
  <c r="L12" i="2"/>
  <c r="S16" i="17"/>
  <c r="S15" i="17"/>
  <c r="BK10" i="11"/>
  <c r="BH12" i="16"/>
  <c r="BH16" i="11"/>
  <c r="BM17" i="11"/>
  <c r="BH10" i="16"/>
  <c r="AQ10" i="21"/>
  <c r="BH10" i="11"/>
  <c r="BG12" i="11"/>
  <c r="AZ12" i="11"/>
  <c r="BU16" i="17"/>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P18" i="17"/>
  <c r="P19" i="17"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<sst xmlns="http://schemas.openxmlformats.org/spreadsheetml/2006/main" count="2102" uniqueCount="918">
  <si>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</si>
  <si>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</si>
  <si>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</si>
  <si>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</si>
  <si>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</si>
  <si>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</si>
  <si>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</si>
  <si>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</si>
  <si>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</si>
  <si>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</si>
  <si>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</si>
  <si>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</si>
  <si>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</si>
  <si>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</si>
  <si>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</si>
  <si>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</si>
  <si>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</si>
  <si>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</si>
  <si>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</si>
  <si>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</si>
  <si>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</si>
  <si>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</si>
  <si>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</si>
  <si>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</si>
  <si>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</si>
  <si>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</si>
  <si>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</si>
  <si>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</si>
  <si>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</si>
  <si>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</si>
  <si>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</si>
  <si>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</si>
  <si>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</si>
  <si>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</si>
  <si>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</si>
  <si>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</si>
  <si>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</si>
  <si>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</si>
  <si>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</si>
  <si>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</si>
  <si>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</si>
  <si>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</si>
  <si>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</si>
  <si>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</si>
  <si>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</si>
  <si>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</si>
  <si>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</si>
  <si>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</si>
  <si>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</si>
  <si>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</si>
  <si>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</si>
  <si>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</si>
  <si>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</si>
  <si>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</si>
  <si>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</si>
  <si>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</si>
  <si>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</si>
  <si>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</si>
  <si>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</si>
  <si>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</si>
  <si>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</si>
  <si>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</si>
  <si>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</si>
  <si>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</si>
  <si>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</si>
  <si>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</si>
  <si>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</si>
  <si>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</si>
  <si>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</si>
  <si>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</si>
  <si>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</si>
  <si>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</si>
  <si>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</si>
  <si>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</si>
  <si>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</si>
  <si>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</si>
  <si>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</si>
  <si>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</si>
  <si>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</si>
  <si>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</si>
  <si>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</si>
  <si>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</si>
  <si>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</si>
  <si>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</si>
  <si>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</si>
  <si>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</si>
  <si>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</si>
  <si>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</si>
  <si>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</si>
  <si>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</si>
  <si>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</si>
  <si>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</si>
  <si>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</si>
  <si>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</si>
  <si>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</si>
  <si>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</si>
  <si>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</si>
  <si>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</si>
  <si>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</si>
  <si>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</si>
  <si>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</si>
  <si>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</si>
  <si>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</si>
  <si>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</si>
  <si>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</si>
  <si>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</si>
  <si>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</si>
  <si>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</si>
  <si>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</si>
  <si>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</si>
  <si>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</si>
  <si>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</si>
  <si>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</si>
  <si>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</si>
  <si>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</si>
  <si>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</si>
  <si>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</si>
  <si>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</si>
  <si>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</si>
  <si>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</si>
  <si>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</si>
  <si>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</si>
  <si>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</si>
  <si>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</si>
  <si>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</si>
  <si>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</si>
  <si>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</si>
  <si>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</si>
  <si>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</si>
  <si>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</si>
  <si>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</si>
  <si>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</si>
  <si>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</si>
  <si>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</si>
  <si>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</si>
  <si>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</si>
  <si>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</si>
  <si>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</si>
  <si>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</si>
  <si>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</si>
  <si>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</si>
  <si>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</si>
  <si>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</si>
  <si>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</si>
  <si>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</si>
  <si>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</si>
  <si>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</si>
  <si>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</si>
  <si>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</si>
  <si>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</si>
  <si>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</si>
  <si>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</si>
  <si>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</si>
  <si>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</si>
  <si>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</si>
  <si>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</si>
  <si>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</si>
  <si>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</si>
  <si>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</si>
  <si>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</si>
  <si>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</si>
  <si>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</si>
  <si>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</si>
  <si>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</si>
  <si>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</si>
  <si>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</si>
  <si>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</si>
  <si>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</si>
  <si>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</si>
  <si>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</si>
  <si>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</si>
  <si>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</si>
  <si>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</si>
  <si>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</si>
  <si>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</si>
  <si>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</si>
  <si>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</si>
  <si>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</si>
  <si>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</si>
  <si>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</si>
  <si>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</si>
  <si>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</si>
  <si>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</si>
  <si>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</si>
  <si>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</si>
  <si>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</si>
  <si>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</si>
  <si>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</si>
  <si>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</si>
  <si>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</si>
  <si>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</si>
  <si>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</si>
  <si>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</si>
  <si>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</si>
  <si>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</si>
  <si>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</si>
  <si>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</si>
  <si>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</si>
  <si>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</si>
  <si>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</si>
  <si>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</si>
  <si>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</si>
  <si>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</si>
  <si>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</si>
  <si>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</si>
  <si>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</si>
  <si>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</si>
  <si>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</si>
  <si>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</si>
  <si>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</si>
  <si>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</si>
  <si>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</si>
  <si>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</si>
  <si>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</si>
  <si>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</si>
  <si>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</si>
  <si>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</si>
  <si>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</si>
  <si>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</si>
  <si>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</si>
  <si>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</si>
  <si>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</si>
  <si>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</si>
  <si>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</si>
  <si>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</si>
  <si>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</si>
  <si>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</si>
  <si>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</si>
  <si>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</si>
  <si>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</si>
  <si>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</si>
  <si>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</si>
  <si>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</si>
  <si>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</si>
  <si>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</si>
  <si>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</si>
  <si>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</si>
  <si>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</si>
  <si>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</si>
  <si>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</si>
  <si>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</si>
  <si>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</si>
  <si>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</si>
  <si>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</si>
  <si>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</si>
  <si>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</si>
  <si>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</si>
  <si>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</si>
  <si>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</si>
  <si>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</si>
  <si>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</si>
  <si>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</si>
  <si>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</si>
  <si>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</si>
  <si>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</si>
  <si>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</si>
  <si>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</si>
  <si>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</si>
  <si>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</si>
  <si>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</si>
  <si>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</si>
  <si>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</si>
  <si>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</si>
  <si>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</si>
  <si>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</si>
  <si>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</si>
  <si>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</si>
  <si>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</si>
  <si>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</si>
  <si>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</si>
  <si>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</si>
  <si>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</si>
  <si>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</si>
  <si>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</si>
  <si>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</si>
  <si>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</si>
  <si>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</si>
  <si>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</si>
  <si>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</si>
  <si>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</si>
  <si>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</si>
  <si>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</si>
  <si>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</si>
  <si>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</si>
  <si>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</si>
  <si>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</si>
  <si>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</si>
  <si>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</si>
  <si>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</si>
  <si>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</si>
  <si>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</si>
  <si>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</si>
  <si>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</si>
  <si>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</si>
  <si>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</si>
  <si>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</si>
  <si>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</si>
  <si>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</si>
  <si>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</si>
  <si>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</si>
  <si>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</si>
  <si>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</si>
  <si>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</si>
  <si>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</si>
  <si>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</si>
  <si>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</si>
  <si>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</si>
  <si>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</si>
  <si>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</si>
  <si>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</si>
  <si>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</si>
  <si>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</si>
  <si>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</si>
  <si>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</si>
  <si>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</si>
  <si>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</si>
  <si>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</si>
  <si>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</si>
  <si>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</si>
  <si>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</si>
  <si>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</si>
  <si>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</si>
  <si>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</si>
  <si>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</si>
  <si>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</si>
  <si>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</si>
  <si>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</si>
  <si>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</si>
  <si>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</si>
  <si>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</si>
  <si>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</si>
  <si>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</si>
  <si>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</si>
  <si>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</si>
  <si>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</si>
  <si>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</si>
  <si>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</si>
  <si>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</si>
  <si>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</si>
  <si>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</si>
  <si>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</si>
  <si>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</si>
  <si>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</si>
  <si>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</si>
  <si>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</si>
  <si>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</si>
  <si>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</si>
  <si>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</si>
  <si>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</si>
  <si>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</si>
  <si>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</si>
  <si>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</si>
  <si>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</si>
  <si>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</si>
  <si>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</si>
  <si>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</si>
  <si>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</si>
  <si>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</si>
  <si>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</si>
  <si>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</si>
  <si>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</si>
  <si>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</si>
  <si>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</si>
  <si>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</si>
  <si>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</si>
  <si>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</si>
  <si>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</si>
  <si>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</si>
  <si>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</si>
  <si>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</si>
  <si>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</si>
  <si>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</si>
  <si>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</si>
  <si>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</si>
  <si>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</si>
  <si>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</si>
  <si>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</si>
  <si>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</si>
  <si>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</si>
  <si>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</si>
  <si>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</si>
  <si>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</si>
  <si>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</si>
  <si>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</si>
  <si>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</si>
  <si>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</si>
  <si>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</si>
  <si>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</si>
  <si>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</si>
  <si>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</si>
  <si>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</si>
  <si>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</si>
  <si>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</si>
  <si>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</si>
  <si>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</si>
  <si>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</si>
  <si>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</si>
  <si>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</si>
  <si>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</si>
  <si>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</si>
  <si>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</si>
  <si>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</si>
  <si>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</si>
  <si>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</si>
  <si>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</si>
  <si>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</si>
  <si>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</si>
  <si>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</si>
  <si>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</si>
  <si>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</si>
  <si>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</si>
  <si>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</si>
  <si>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</si>
  <si>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</si>
  <si>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</si>
  <si>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</si>
  <si>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</si>
  <si>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</si>
  <si>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</si>
  <si>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</si>
  <si>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</si>
  <si>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</si>
  <si>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</si>
  <si>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</si>
  <si>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</si>
  <si>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</si>
  <si>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</si>
  <si>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</si>
  <si>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</si>
  <si>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</si>
  <si>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</si>
  <si>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</si>
  <si>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</si>
  <si>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</si>
  <si>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</si>
  <si>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</si>
  <si>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</si>
  <si>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</si>
  <si>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</si>
  <si>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</si>
  <si>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</si>
  <si>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</si>
  <si>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</si>
  <si>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</si>
  <si>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</si>
  <si>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</si>
  <si>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</si>
  <si>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</si>
  <si>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</si>
  <si>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</si>
  <si>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</si>
  <si>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</si>
  <si>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</si>
  <si>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</si>
  <si>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</si>
  <si>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</si>
  <si>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</si>
  <si>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</si>
  <si>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</si>
  <si>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</si>
  <si>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</si>
  <si>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</si>
  <si>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</si>
  <si>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</si>
  <si>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</si>
  <si>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</si>
  <si>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</si>
  <si>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</si>
  <si>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</si>
  <si>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</si>
  <si>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</si>
  <si>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</si>
  <si>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</si>
  <si>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</si>
  <si>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</si>
  <si>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</si>
  <si>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</si>
  <si>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</si>
  <si>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</si>
  <si>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</si>
  <si>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</si>
  <si>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</si>
  <si>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</si>
  <si>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</si>
  <si>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</si>
  <si>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</si>
  <si>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</si>
  <si>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</si>
  <si>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</si>
  <si>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</si>
  <si>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</si>
  <si>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</si>
  <si>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</si>
  <si>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</si>
  <si>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</si>
  <si>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</si>
  <si>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</si>
  <si>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</si>
  <si>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</si>
  <si>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</si>
  <si>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</si>
  <si>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</si>
  <si>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</si>
  <si>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</si>
  <si>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</si>
  <si>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</si>
  <si>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</si>
  <si>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</si>
  <si>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</si>
  <si>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</si>
  <si>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</si>
  <si>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</si>
  <si>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</si>
  <si>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</si>
  <si>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</si>
  <si>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</si>
  <si>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</si>
  <si>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</si>
  <si>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</si>
  <si>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</si>
  <si>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</si>
  <si>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</si>
  <si>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</si>
  <si>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</si>
  <si>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</si>
  <si>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</si>
  <si>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</si>
  <si>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</si>
  <si>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</si>
  <si>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</si>
  <si>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</si>
  <si>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</si>
  <si>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</si>
  <si>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</si>
  <si>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</si>
  <si>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</si>
  <si>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</si>
  <si>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</si>
  <si>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</si>
  <si>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</si>
  <si>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</si>
  <si>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</si>
  <si>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</si>
  <si>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</si>
  <si>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</si>
  <si>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</si>
  <si>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</si>
  <si>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</si>
  <si>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</si>
  <si>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</si>
  <si>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</si>
  <si>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</si>
  <si>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</si>
  <si>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</si>
  <si>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</si>
  <si>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</si>
  <si>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</si>
  <si>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</si>
  <si>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</si>
  <si>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</si>
  <si>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</si>
  <si>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</si>
  <si>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</si>
  <si>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</si>
  <si>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</si>
  <si>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</si>
  <si>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</si>
  <si>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</si>
  <si>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</si>
  <si>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</si>
  <si>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</si>
  <si>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</si>
  <si>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</si>
  <si>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</si>
  <si>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</si>
  <si>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</si>
  <si>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</si>
  <si>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</si>
  <si>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</si>
  <si>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</si>
  <si>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</si>
  <si>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</si>
  <si>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</si>
  <si>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</si>
  <si>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</si>
  <si>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</si>
  <si>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</si>
  <si>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</si>
  <si>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</si>
  <si>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</si>
  <si>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</si>
  <si>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</si>
  <si>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</si>
  <si>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</si>
  <si>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</si>
  <si>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</si>
  <si>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</si>
  <si>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</si>
  <si>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</si>
  <si>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</si>
  <si>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</si>
  <si>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</si>
  <si>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</si>
  <si>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</si>
  <si>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</si>
  <si>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</si>
  <si>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</si>
  <si>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</si>
  <si>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</si>
  <si>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</si>
  <si>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</si>
  <si>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</si>
  <si>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</si>
  <si>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</si>
  <si>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</si>
  <si>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</si>
  <si>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</si>
  <si>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</si>
  <si>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</si>
  <si>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</si>
  <si>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</si>
  <si>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</si>
  <si>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</si>
  <si>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</si>
  <si>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</si>
  <si>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</si>
  <si>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</si>
  <si>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</si>
  <si>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</si>
  <si>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</si>
  <si>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</si>
  <si>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</si>
  <si>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</si>
  <si>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</si>
  <si>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</si>
  <si>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</si>
  <si>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</si>
  <si>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</si>
  <si>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</si>
  <si>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</si>
  <si>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</si>
  <si>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</si>
  <si>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</si>
  <si>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</si>
  <si>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</si>
  <si>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</si>
  <si>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</si>
  <si>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</si>
  <si>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</si>
  <si>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</si>
  <si>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</si>
  <si>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</si>
  <si>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</si>
  <si>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</si>
  <si>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</si>
  <si>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</si>
  <si>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</si>
  <si>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</si>
  <si>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</si>
  <si>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</si>
  <si>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</si>
  <si>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</si>
  <si>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</si>
  <si>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</si>
  <si>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</si>
  <si>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</si>
  <si>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</si>
  <si>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</si>
  <si>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</si>
  <si>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</si>
  <si>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</si>
  <si>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</si>
  <si>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</si>
  <si>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</si>
  <si>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</si>
  <si>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</si>
  <si>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</si>
  <si>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</si>
  <si>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</si>
  <si>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</si>
  <si>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</si>
  <si>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</si>
  <si>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</si>
  <si>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</si>
  <si>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</si>
  <si>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</si>
  <si>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</si>
  <si>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</si>
  <si>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</si>
  <si>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</si>
  <si>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</si>
  <si>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</si>
  <si>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</si>
  <si>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</si>
  <si>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</si>
  <si>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</si>
  <si>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</si>
  <si>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</si>
  <si>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</si>
  <si>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</si>
  <si>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</si>
  <si>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</si>
  <si>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</si>
  <si>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</si>
  <si>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</si>
  <si>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</si>
  <si>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</si>
  <si>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</si>
  <si>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</si>
  <si>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</si>
  <si>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</si>
  <si>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</si>
  <si>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</si>
  <si>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</si>
  <si>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</si>
  <si>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</si>
  <si>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</si>
  <si>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</si>
  <si>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</si>
  <si>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</si>
  <si>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</si>
  <si>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</si>
  <si>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</si>
  <si>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</si>
  <si>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</si>
  <si>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</si>
  <si>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</si>
  <si>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</si>
  <si>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</si>
  <si>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</si>
  <si>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</si>
  <si>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</si>
  <si>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</si>
  <si>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</si>
  <si>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</si>
  <si>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</si>
  <si>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</si>
  <si>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</si>
  <si>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</si>
  <si>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</si>
  <si>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</si>
  <si>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</si>
  <si>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</si>
  <si>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</si>
  <si>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</si>
  <si>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</si>
  <si>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</si>
  <si>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</si>
  <si>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</si>
  <si>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</si>
  <si>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</si>
  <si>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</si>
  <si>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</si>
  <si>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</si>
  <si>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</si>
  <si>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</si>
  <si>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</si>
  <si>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</si>
  <si>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</si>
  <si>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</si>
  <si>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</si>
  <si>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</si>
  <si>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</si>
  <si>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</si>
  <si>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</si>
  <si>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</si>
  <si>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</si>
  <si>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</si>
  <si>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</si>
  <si>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</si>
  <si>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</si>
  <si>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</si>
  <si>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</si>
  <si>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</si>
  <si>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</si>
  <si>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</si>
  <si>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</si>
  <si>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</si>
  <si>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</si>
  <si>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</si>
  <si>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</si>
  <si>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</si>
  <si>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</si>
  <si>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</si>
  <si>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</si>
  <si>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</si>
  <si>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</si>
  <si>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</si>
  <si>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</si>
  <si>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</si>
  <si>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</si>
  <si>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</si>
  <si>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</si>
  <si>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</si>
  <si>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</si>
  <si>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</si>
  <si>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</si>
  <si>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</si>
  <si>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</si>
  <si>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</si>
  <si>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</si>
  <si>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</si>
  <si>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</si>
  <si>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</si>
  <si>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</si>
  <si>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</si>
  <si>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</si>
  <si>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</si>
  <si>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</si>
  <si>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</si>
  <si>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</si>
  <si>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</si>
  <si>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</si>
  <si>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</si>
  <si>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</si>
  <si>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</si>
  <si>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</si>
  <si>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</si>
  <si>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</si>
  <si>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</si>
  <si>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</si>
  <si>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</si>
  <si>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</si>
  <si>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</si>
  <si>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</si>
  <si>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</si>
  <si>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</si>
  <si>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</si>
  <si>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</si>
  <si>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</si>
  <si>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</si>
  <si>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</si>
  <si>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</si>
  <si>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</si>
  <si>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</si>
  <si>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</si>
  <si>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</si>
  <si>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</si>
  <si>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</si>
  <si>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</si>
  <si>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</si>
  <si>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</si>
  <si>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</si>
  <si>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</si>
  <si>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</si>
  <si>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</si>
  <si>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</si>
  <si>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</si>
  <si>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</si>
  <si>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</si>
  <si>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</si>
  <si>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</si>
  <si>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</si>
  <si>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</si>
  <si>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</si>
  <si>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</si>
  <si>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</si>
  <si>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</si>
  <si>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</si>
  <si>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</si>
  <si>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</si>
  <si>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</si>
  <si>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</si>
  <si>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</si>
  <si>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</si>
  <si>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</si>
  <si>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</si>
  <si>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</si>
  <si>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</si>
  <si>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</si>
  <si>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</si>
  <si>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</si>
  <si>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</si>
  <si>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</si>
  <si>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</si>
  <si>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</si>
  <si>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</si>
  <si>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</si>
  <si>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</si>
  <si>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</si>
  <si>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</si>
  <si>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</si>
  <si>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</si>
  <si>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</si>
  <si>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</si>
  <si>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</si>
  <si>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</si>
  <si>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</si>
  <si>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</si>
  <si>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</si>
  <si>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</si>
  <si>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</si>
  <si>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</si>
  <si>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</si>
  <si>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</si>
  <si>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</si>
  <si>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</si>
  <si>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</si>
  <si>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</si>
  <si>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</si>
  <si>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</si>
  <si>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</si>
  <si>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</si>
  <si>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</si>
  <si>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</si>
  <si>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</si>
  <si>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</si>
  <si>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</si>
  <si>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</si>
  <si>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</si>
  <si>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</si>
  <si>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</si>
  <si>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</si>
  <si>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</si>
  <si>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</si>
  <si>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</si>
  <si>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</si>
  <si>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CISTIERNA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</si>
</sst>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ftTG0gDe4Ik2n34G7n9WIgOW0F5xCLC4VYS48mikwQB886nIJodHvfrnU+8c2GZhOtUq4CxNSpQsALQL07Q3Q==" saltValue="cxRkR7E+JYS8IFv6L6qO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9.2631578947368425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181</v>
      </c>
      <c r="D16" s="225">
        <f>IF(ISNUMBER(IF(D_I="SI",Datos!I16,Datos!I16+Datos!AC16)),IF(D_I="SI",Datos!I16,Datos!I16+Datos!AC16)," - ")</f>
        <v>181</v>
      </c>
      <c r="E16" s="226">
        <f>IF(ISNUMBER(IF(D_I="SI",Datos!J16,Datos!J16+Datos!AD16)),IF(D_I="SI",Datos!J16,Datos!J16+Datos!AD16)," - ")</f>
        <v>97</v>
      </c>
      <c r="F16" s="226">
        <f>IF(ISNUMBER(IF(D_I="SI",Datos!K16,Datos!K16+Datos!AE16)),IF(D_I="SI",Datos!K16,Datos!K16+Datos!AE16)," - ")</f>
        <v>92</v>
      </c>
      <c r="G16" s="1034" t="str">
        <f>IF(Datos!E16&lt;&gt;"",Datos!E16,Datos!D16)</f>
        <v>04</v>
      </c>
      <c r="H16" s="227">
        <f>IF(ISNUMBER(IF(D_I="SI",Datos!L16,Datos!L16+Datos!AF16)),IF(D_I="SI",Datos!L16,Datos!L16+Datos!AF16)," - ")</f>
        <v>186</v>
      </c>
      <c r="I16" s="1044" t="str">
        <f>IF(ISNUMBER(Datos!AS16/Datos!BM16),Datos!AS16/Datos!BM16," - ")</f>
        <v xml:space="preserve"> - </v>
      </c>
      <c r="J16" s="1045">
        <f>IF(ISNUMBER(Datos!BY16/Datos!CN16),Datos!BY16/Datos!CN16," - ")</f>
        <v>0</v>
      </c>
      <c r="K16" s="230">
        <f t="shared" si="3"/>
        <v>2.7624309392265192E-2</v>
      </c>
      <c r="L16" s="1025">
        <f>IF(ISNUMBER(NºAsuntos!I16/NºAsuntos!G16),(NºAsuntos!I16/NºAsuntos!G16)*11," - ")</f>
        <v>22.239130434782609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3</v>
      </c>
      <c r="F17" s="226">
        <f>IF(ISNUMBER(IF(D_I="SI",Datos!K17,Datos!K17+Datos!AE17)),IF(D_I="SI",Datos!K17,Datos!K17+Datos!AE17)," - ")</f>
        <v>0</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3</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v>
      </c>
      <c r="D18" s="1049">
        <f>SUBTOTAL(9,D15:D17)</f>
        <v>182</v>
      </c>
      <c r="E18" s="1050">
        <f>SUBTOTAL(9,E15:E17)</f>
        <v>100</v>
      </c>
      <c r="F18" s="1050">
        <f>SUBTOTAL(9,F15:F17)</f>
        <v>92</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v>
      </c>
      <c r="D19" s="1071">
        <f>SUBTOTAL(9,D9:D18)</f>
        <v>183</v>
      </c>
      <c r="E19" s="1072">
        <f>SUBTOTAL(9,E9:E18)</f>
        <v>101</v>
      </c>
      <c r="F19" s="1072">
        <f>SUBTOTAL(9,F9:F18)</f>
        <v>93</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5ZrgPVJ50LBexq7EhE5fLmXY1b0Fqu8LkdEV93N3ZjoUvvMcvezxuI7Upi8MNirpKm/dd7EpD3RIQoeaSdeXA==" saltValue="pnnwj5mnq730lJVdou0T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tJBU2s7Pl7bAb5ZLSwh8pcsQtR3pJLvysjyG78cjeeV7X82/gpnr3GmZiW76Mw3irmf3NPkCMQ6IICDozbgeQ==" saltValue="XpTCeeMlB34JXjRlvLmv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122</v>
      </c>
      <c r="J12" s="183">
        <v>223</v>
      </c>
      <c r="K12" s="183">
        <v>186</v>
      </c>
      <c r="L12" s="183">
        <v>159</v>
      </c>
      <c r="M12" s="183">
        <v>130</v>
      </c>
      <c r="N12" s="183">
        <v>36</v>
      </c>
      <c r="O12" s="181">
        <v>33</v>
      </c>
      <c r="P12" s="183">
        <v>60</v>
      </c>
      <c r="Q12" s="183">
        <v>17</v>
      </c>
      <c r="R12" s="183">
        <v>203</v>
      </c>
      <c r="S12" s="183">
        <v>168</v>
      </c>
      <c r="T12" s="183">
        <v>95</v>
      </c>
      <c r="U12" s="183">
        <v>124</v>
      </c>
      <c r="V12" s="183">
        <v>139</v>
      </c>
      <c r="W12" s="183">
        <v>28</v>
      </c>
      <c r="X12" s="189">
        <v>48</v>
      </c>
      <c r="Y12" s="191">
        <v>4</v>
      </c>
      <c r="Z12" s="181">
        <v>1</v>
      </c>
      <c r="AA12" s="181">
        <v>4</v>
      </c>
      <c r="AB12" s="181">
        <v>1</v>
      </c>
      <c r="AC12" s="183">
        <v>0</v>
      </c>
      <c r="AD12" s="183">
        <v>0</v>
      </c>
      <c r="AE12" s="183">
        <v>0</v>
      </c>
      <c r="AF12" s="189">
        <v>0</v>
      </c>
      <c r="AG12" s="202">
        <v>9</v>
      </c>
      <c r="AH12" s="183">
        <v>9</v>
      </c>
      <c r="AI12" s="183">
        <v>13</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177</v>
      </c>
      <c r="AZ12" s="127">
        <f t="shared" si="1"/>
        <v>104</v>
      </c>
      <c r="BA12" s="127">
        <f t="shared" si="1"/>
        <v>137</v>
      </c>
      <c r="BB12" s="127">
        <f t="shared" si="1"/>
        <v>144</v>
      </c>
      <c r="BC12" s="125">
        <f>IF(ISNUMBER(X12),X12," - ")</f>
        <v>48</v>
      </c>
      <c r="BD12" s="126">
        <f t="shared" si="2"/>
        <v>1.3173076923076923</v>
      </c>
      <c r="BE12" s="127">
        <f t="shared" si="3"/>
        <v>1.051094890510949</v>
      </c>
      <c r="BF12" s="127">
        <f t="shared" si="4"/>
        <v>0.35036496350364965</v>
      </c>
      <c r="BG12" s="196">
        <f t="shared" si="5"/>
        <v>2.051094890510949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v>
      </c>
      <c r="J13" s="184">
        <f t="shared" si="6"/>
        <v>224</v>
      </c>
      <c r="K13" s="184">
        <f t="shared" si="6"/>
        <v>187</v>
      </c>
      <c r="L13" s="184">
        <f t="shared" si="6"/>
        <v>160</v>
      </c>
      <c r="M13" s="184">
        <f t="shared" si="6"/>
        <v>131</v>
      </c>
      <c r="N13" s="184">
        <f t="shared" si="6"/>
        <v>36</v>
      </c>
      <c r="O13" s="184">
        <f t="shared" si="6"/>
        <v>33</v>
      </c>
      <c r="P13" s="184">
        <f t="shared" si="6"/>
        <v>60</v>
      </c>
      <c r="Q13" s="184">
        <f t="shared" si="6"/>
        <v>17</v>
      </c>
      <c r="R13" s="184">
        <f t="shared" si="6"/>
        <v>203</v>
      </c>
      <c r="S13" s="184">
        <f t="shared" si="6"/>
        <v>168</v>
      </c>
      <c r="T13" s="184">
        <f t="shared" si="6"/>
        <v>95</v>
      </c>
      <c r="U13" s="184">
        <f t="shared" si="6"/>
        <v>124</v>
      </c>
      <c r="V13" s="184">
        <f t="shared" si="6"/>
        <v>139</v>
      </c>
      <c r="W13" s="184">
        <f t="shared" si="6"/>
        <v>28</v>
      </c>
      <c r="X13" s="184">
        <f t="shared" si="6"/>
        <v>48</v>
      </c>
      <c r="Y13" s="184">
        <f t="shared" si="6"/>
        <v>4</v>
      </c>
      <c r="Z13" s="184">
        <f t="shared" si="6"/>
        <v>1</v>
      </c>
      <c r="AA13" s="184">
        <f t="shared" si="6"/>
        <v>4</v>
      </c>
      <c r="AB13" s="184">
        <f t="shared" si="6"/>
        <v>1</v>
      </c>
      <c r="AC13" s="184">
        <f t="shared" si="6"/>
        <v>0</v>
      </c>
      <c r="AD13" s="184">
        <f t="shared" si="6"/>
        <v>0</v>
      </c>
      <c r="AE13" s="184">
        <f t="shared" si="6"/>
        <v>0</v>
      </c>
      <c r="AF13" s="184">
        <f>SUBTOTAL(9,AF9:AF12)</f>
        <v>0</v>
      </c>
      <c r="AG13" s="184">
        <f t="shared" ref="AG13:AT13" si="7">SUBTOTAL(9,AG8:AG12)</f>
        <v>9</v>
      </c>
      <c r="AH13" s="184">
        <f t="shared" si="7"/>
        <v>9</v>
      </c>
      <c r="AI13" s="184">
        <f t="shared" si="7"/>
        <v>13</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177</v>
      </c>
      <c r="AZ13" s="184">
        <f>SUBTOTAL(9,AZ8:AZ12)</f>
        <v>104</v>
      </c>
      <c r="BA13" s="184">
        <f>SUBTOTAL(9,BA8:BA12)</f>
        <v>137</v>
      </c>
      <c r="BB13" s="184">
        <f>SUBTOTAL(9,BB8:BB12)</f>
        <v>144</v>
      </c>
      <c r="BC13" s="184">
        <f>SUBTOTAL(9,BC8:BC12)</f>
        <v>48</v>
      </c>
      <c r="BD13" s="205">
        <f>IF(ISNUMBER(BA13/AZ13),BA13/AZ13," - ")</f>
        <v>1.3173076923076923</v>
      </c>
      <c r="BE13" s="206">
        <f>IF(ISNUMBER(BB13/BA13),BB13/BA13, " - ")</f>
        <v>1.051094890510949</v>
      </c>
      <c r="BF13" s="206">
        <f>IF(ISNUMBER(BC13/BA13),BC13/BA13, " - ")</f>
        <v>0.35036496350364965</v>
      </c>
      <c r="BG13" s="207">
        <f>IF(ISNUMBER((AY13+AZ13)/BA13),(AY13+AZ13)/BA13," - ")</f>
        <v>2.051094890510949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181</v>
      </c>
      <c r="J16" s="183">
        <v>97</v>
      </c>
      <c r="K16" s="183">
        <v>92</v>
      </c>
      <c r="L16" s="183">
        <v>186</v>
      </c>
      <c r="M16" s="183">
        <v>23</v>
      </c>
      <c r="N16" s="183">
        <v>37</v>
      </c>
      <c r="O16" s="181">
        <v>0</v>
      </c>
      <c r="P16" s="183">
        <v>4</v>
      </c>
      <c r="Q16" s="183">
        <v>3</v>
      </c>
      <c r="R16" s="183">
        <v>17</v>
      </c>
      <c r="S16" s="183">
        <v>196</v>
      </c>
      <c r="T16" s="183">
        <v>74</v>
      </c>
      <c r="U16" s="183">
        <v>67</v>
      </c>
      <c r="V16" s="183">
        <v>203</v>
      </c>
      <c r="W16" s="183">
        <v>21</v>
      </c>
      <c r="X16" s="189">
        <v>18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196</v>
      </c>
      <c r="AZ16" s="127">
        <f t="shared" si="9"/>
        <v>74</v>
      </c>
      <c r="BA16" s="127">
        <f t="shared" si="9"/>
        <v>67</v>
      </c>
      <c r="BB16" s="127">
        <f t="shared" si="9"/>
        <v>203</v>
      </c>
      <c r="BC16" s="125">
        <f>IF(ISNUMBER(W16),W16," - ")</f>
        <v>21</v>
      </c>
      <c r="BD16" s="126">
        <f t="shared" ref="BD16" si="11">IF(ISNUMBER(BA16/AZ16),BA16/AZ16," - ")</f>
        <v>0.90540540540540537</v>
      </c>
      <c r="BE16" s="127">
        <f t="shared" ref="BE16" si="12">IF(ISNUMBER(BB16/BA16),BB16/BA16, " - ")</f>
        <v>3.0298507462686568</v>
      </c>
      <c r="BF16" s="127">
        <f t="shared" ref="BF16" si="13">IF(ISNUMBER(BC16/BA16),BC16/BA16, " - ")</f>
        <v>0.31343283582089554</v>
      </c>
      <c r="BG16" s="196">
        <f t="shared" si="10"/>
        <v>4.0298507462686564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3</v>
      </c>
      <c r="K17" s="183">
        <v>0</v>
      </c>
      <c r="L17" s="183">
        <v>4</v>
      </c>
      <c r="M17" s="183">
        <v>0</v>
      </c>
      <c r="N17" s="183">
        <v>1</v>
      </c>
      <c r="O17" s="183">
        <v>0</v>
      </c>
      <c r="P17" s="183">
        <v>0</v>
      </c>
      <c r="Q17" s="183">
        <v>0</v>
      </c>
      <c r="R17" s="183">
        <v>0</v>
      </c>
      <c r="S17" s="183">
        <v>5</v>
      </c>
      <c r="T17" s="183">
        <v>2</v>
      </c>
      <c r="U17" s="183">
        <v>5</v>
      </c>
      <c r="V17" s="183">
        <v>2</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2</v>
      </c>
      <c r="BA17" s="129">
        <f t="shared" si="14"/>
        <v>5</v>
      </c>
      <c r="BB17" s="129">
        <f t="shared" si="14"/>
        <v>2</v>
      </c>
      <c r="BC17" s="125">
        <f>IF(ISNUMBER(W17),W17," - ")</f>
        <v>0</v>
      </c>
      <c r="BD17" s="126">
        <f>IF(ISNUMBER(BA17/AZ17),BA17/AZ17," - ")</f>
        <v>2.5</v>
      </c>
      <c r="BE17" s="127">
        <f>IF(ISNUMBER(BB17/BA17),BB17/BA17, " - ")</f>
        <v>0.4</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v>
      </c>
      <c r="J18" s="184">
        <f t="shared" si="15"/>
        <v>100</v>
      </c>
      <c r="K18" s="184">
        <f t="shared" si="15"/>
        <v>92</v>
      </c>
      <c r="L18" s="184">
        <f t="shared" si="15"/>
        <v>190</v>
      </c>
      <c r="M18" s="184">
        <f t="shared" si="15"/>
        <v>23</v>
      </c>
      <c r="N18" s="184">
        <f t="shared" si="15"/>
        <v>38</v>
      </c>
      <c r="O18" s="184">
        <f t="shared" si="15"/>
        <v>0</v>
      </c>
      <c r="P18" s="184">
        <f t="shared" si="15"/>
        <v>4</v>
      </c>
      <c r="Q18" s="184">
        <f t="shared" si="15"/>
        <v>3</v>
      </c>
      <c r="R18" s="184">
        <f t="shared" si="15"/>
        <v>17</v>
      </c>
      <c r="S18" s="184">
        <f t="shared" si="15"/>
        <v>201</v>
      </c>
      <c r="T18" s="184">
        <f t="shared" si="15"/>
        <v>76</v>
      </c>
      <c r="U18" s="184">
        <f t="shared" si="15"/>
        <v>72</v>
      </c>
      <c r="V18" s="184">
        <f t="shared" si="15"/>
        <v>205</v>
      </c>
      <c r="W18" s="184">
        <f t="shared" si="15"/>
        <v>21</v>
      </c>
      <c r="X18" s="184">
        <f t="shared" si="15"/>
        <v>20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201</v>
      </c>
      <c r="AZ18" s="184">
        <f>SUBTOTAL(9,AZ14:AZ17)</f>
        <v>76</v>
      </c>
      <c r="BA18" s="184">
        <f>SUBTOTAL(9,BA14:BA17)</f>
        <v>72</v>
      </c>
      <c r="BB18" s="184">
        <f>SUBTOTAL(9,BB14:BB17)</f>
        <v>205</v>
      </c>
      <c r="BC18" s="184">
        <f>SUBTOTAL(9,BC14:BC17)</f>
        <v>21</v>
      </c>
      <c r="BD18" s="205">
        <f>IF(ISNUMBER(BA18/AZ18),BA18/AZ18," - ")</f>
        <v>0.94736842105263153</v>
      </c>
      <c r="BE18" s="206">
        <f>IF(ISNUMBER(BB18/BA18),BB18/BA18, " - ")</f>
        <v>2.8472222222222223</v>
      </c>
      <c r="BF18" s="206">
        <f>IF(ISNUMBER(BC18/BA18),BC18/BA18, " - ")</f>
        <v>0.29166666666666669</v>
      </c>
      <c r="BG18" s="207">
        <f>IF(ISNUMBER((AY18+AZ18)/BA18),(AY18+AZ18)/BA18," - ")</f>
        <v>3.8472222222222223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305</v>
      </c>
      <c r="J19" s="134">
        <f t="shared" si="18"/>
        <v>324</v>
      </c>
      <c r="K19" s="134">
        <f t="shared" si="18"/>
        <v>279</v>
      </c>
      <c r="L19" s="134">
        <f t="shared" si="18"/>
        <v>350</v>
      </c>
      <c r="M19" s="134">
        <f t="shared" si="18"/>
        <v>154</v>
      </c>
      <c r="N19" s="134">
        <f t="shared" si="18"/>
        <v>74</v>
      </c>
      <c r="O19" s="134">
        <f t="shared" si="18"/>
        <v>33</v>
      </c>
      <c r="P19" s="134">
        <f t="shared" si="18"/>
        <v>64</v>
      </c>
      <c r="Q19" s="134">
        <f t="shared" si="18"/>
        <v>20</v>
      </c>
      <c r="R19" s="134">
        <f t="shared" si="18"/>
        <v>220</v>
      </c>
      <c r="S19" s="134">
        <f t="shared" si="18"/>
        <v>369</v>
      </c>
      <c r="T19" s="134">
        <f t="shared" si="18"/>
        <v>171</v>
      </c>
      <c r="U19" s="134">
        <f t="shared" si="18"/>
        <v>196</v>
      </c>
      <c r="V19" s="134">
        <f t="shared" si="18"/>
        <v>344</v>
      </c>
      <c r="W19" s="134">
        <f t="shared" si="18"/>
        <v>49</v>
      </c>
      <c r="X19" s="134">
        <f t="shared" si="18"/>
        <v>68</v>
      </c>
      <c r="Y19" s="134">
        <f t="shared" si="18"/>
        <v>4</v>
      </c>
      <c r="Z19" s="134">
        <f t="shared" si="18"/>
        <v>1</v>
      </c>
      <c r="AA19" s="134">
        <f t="shared" si="18"/>
        <v>4</v>
      </c>
      <c r="AB19" s="134">
        <f t="shared" si="18"/>
        <v>1</v>
      </c>
      <c r="AC19" s="134">
        <f t="shared" si="18"/>
        <v>0</v>
      </c>
      <c r="AD19" s="134">
        <f t="shared" si="18"/>
        <v>0</v>
      </c>
      <c r="AE19" s="134">
        <f t="shared" si="18"/>
        <v>0</v>
      </c>
      <c r="AF19" s="134">
        <f t="shared" si="18"/>
        <v>0</v>
      </c>
      <c r="AG19" s="134">
        <f t="shared" si="18"/>
        <v>9</v>
      </c>
      <c r="AH19" s="134">
        <f t="shared" si="18"/>
        <v>9</v>
      </c>
      <c r="AI19" s="134">
        <f t="shared" si="18"/>
        <v>13</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378</v>
      </c>
      <c r="AZ19" s="134">
        <f>SUBTOTAL(9,AZ9:AZ18)</f>
        <v>180</v>
      </c>
      <c r="BA19" s="134">
        <f>SUBTOTAL(9,BA9:BA18)</f>
        <v>209</v>
      </c>
      <c r="BB19" s="134">
        <f>SUBTOTAL(9,BB9:BB18)</f>
        <v>349</v>
      </c>
      <c r="BC19" s="135">
        <f>SUBTOTAL(9,BC9:BC18)</f>
        <v>69</v>
      </c>
      <c r="BD19" s="213">
        <f>IF(ISNUMBER(BA19/AZ19),BA19/AZ19," - ")</f>
        <v>1.1611111111111112</v>
      </c>
      <c r="BE19" s="210">
        <f>IF(ISNUMBER(BB19/BA19),BB19/BA19, " - ")</f>
        <v>1.6698564593301435</v>
      </c>
      <c r="BF19" s="210">
        <f>IF(ISNUMBER(BC19/BA19),BC19/BA19, " - ")</f>
        <v>0.33014354066985646</v>
      </c>
      <c r="BG19" s="135">
        <f>IF(ISNUMBER((AY19+AZ19)/BA19),(AY19+AZ19)/BA19," - ")</f>
        <v>2.6698564593301435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11WHJT6CrkWIi+tmhSG4PYvtdYhVcrquz7ftdxk7rGTZ5tBhXwntjnWMyrzq5EZf3egtsBvr58zAAc7mCOOw==" saltValue="PNKmGAMoywujKVqiQriE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0opOuqKKMz+NnzdJc0srlvxKO5prRSvUUzpsuk+/Bw5fRDM0aSqkbUii3kKyK5sY99JEH1zzs3yjBfxRIcIg==" saltValue="62MWUwyiXn5rCPkEVu1P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0.8482142857142857</v>
      </c>
      <c r="BH12" s="260">
        <f>IF(ISNUMBER(((IF(J_V="SI",Datos!L12/Datos!K12,(Datos!L12+Datos!AB12)/(Datos!K12+Datos!AA12)))*11)/factor_trimestre),((IF(J_V="SI",Datos!L12/Datos!K12,(Datos!L12+Datos!AB12)/(Datos!K12+Datos!AA12)))*11)/factor_trimestre," - ")</f>
        <v>2.5263157894736845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0.26874999999999999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v>
      </c>
      <c r="AD13" s="899">
        <f t="shared" si="1"/>
        <v>0</v>
      </c>
      <c r="AE13" s="899">
        <f t="shared" si="1"/>
        <v>0</v>
      </c>
      <c r="AF13" s="899">
        <f t="shared" si="1"/>
        <v>1</v>
      </c>
      <c r="AG13" s="899">
        <f t="shared" si="1"/>
        <v>0</v>
      </c>
      <c r="AH13" s="899">
        <f t="shared" si="1"/>
        <v>1</v>
      </c>
      <c r="AI13" s="899">
        <f t="shared" si="1"/>
        <v>0</v>
      </c>
      <c r="AJ13" s="899">
        <f t="shared" si="1"/>
        <v>0</v>
      </c>
      <c r="AK13" s="899">
        <f t="shared" si="1"/>
        <v>0</v>
      </c>
      <c r="AL13" s="899">
        <f t="shared" si="1"/>
        <v>0</v>
      </c>
      <c r="AM13" s="899">
        <f t="shared" si="1"/>
        <v>203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v>
      </c>
      <c r="BD13" s="899">
        <f t="shared" si="1"/>
        <v>36</v>
      </c>
      <c r="BE13" s="899">
        <f t="shared" si="1"/>
        <v>0</v>
      </c>
      <c r="BF13" s="899">
        <f t="shared" si="1"/>
        <v>0</v>
      </c>
      <c r="BG13" s="899">
        <f>IF(ISNUMBER(Datos!K13/Datos!J13),Datos!K13/Datos!J13," - ")</f>
        <v>0.8348214285714286</v>
      </c>
      <c r="BH13" s="903">
        <f>IF(ISNUMBER(((Datos!L13/Datos!K13)*11)/factor_trimestre),((Datos!L13/Datos!K13)*11)/factor_trimestre," - ")</f>
        <v>2.5668449197860963</v>
      </c>
      <c r="BI13" s="899">
        <f>IF(ISNUMBER('Resol  Asuntos'!D13/NºAsuntos!G13),'Resol  Asuntos'!D13/NºAsuntos!G13," - ")</f>
        <v>0.68586387434554974</v>
      </c>
      <c r="BJ13" s="899" t="str">
        <f>IF(ISNUMBER(Datos!CI13/Datos!CJ13),Datos!CI13/Datos!CJ13," - ")</f>
        <v xml:space="preserve"> - </v>
      </c>
      <c r="BK13" s="899">
        <f>SUBTOTAL(9,BK8:BK12)</f>
        <v>0</v>
      </c>
      <c r="BL13" s="899">
        <f>IF(ISNUMBER((I13-AB13+L13)/(F13)),(I13-AB13+L13)/(F13)," - ")</f>
        <v>-1</v>
      </c>
      <c r="BM13" s="904">
        <f>SUBTOTAL(9,BM9:BM12)</f>
        <v>0.26874999999999999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181</v>
      </c>
      <c r="G16" s="598">
        <f>IF(ISNUMBER(IF(D_I="SI",Datos!I16,Datos!I16+Datos!AC16)),IF(D_I="SI",Datos!I16,Datos!I16+Datos!AC16)," - ")</f>
        <v>181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v>
      </c>
      <c r="AC16" s="226">
        <f>IF(ISNUMBER(Datos!Q16),Datos!Q16," - ")</f>
        <v>3</v>
      </c>
      <c r="AD16" s="334"/>
      <c r="AE16" s="484"/>
      <c r="AF16" s="596">
        <f>IF(ISNUMBER(IF(D_I="SI",Datos!L16,Datos!L16+Datos!AF16)),IF(D_I="SI",Datos!L16,Datos!L16+Datos!AF16)," - ")</f>
        <v>186</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0.94845360824742264</v>
      </c>
      <c r="BH16" s="260">
        <f>IF(ISNUMBER(((IF(D_I="SI",Datos!L16/Datos!K16,(Datos!L16+Datos!AF16)/(Datos!K16+Datos!AE16)))*11)/factor_trimestre),((IF(D_I="SI",Datos!L16/Datos!K16,(Datos!L16+Datos!AF16)/(Datos!K16+Datos!AE16)))*11)/factor_trimestre," - ")</f>
        <v>6.0652173913043486</v>
      </c>
      <c r="BI16" s="243">
        <f>IF(ISNUMBER('Resol  Asuntos'!D16/NºAsuntos!G16),'Resol  Asuntos'!D16/NºAsuntos!G16," - ")</f>
        <v>0.25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181</v>
      </c>
      <c r="G18" s="898">
        <f>SUBTOTAL(9,G15:G17)</f>
        <v>182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v>
      </c>
      <c r="AC18" s="899">
        <f t="shared" si="4"/>
        <v>3</v>
      </c>
      <c r="AD18" s="899">
        <f t="shared" si="4"/>
        <v>0</v>
      </c>
      <c r="AE18" s="899">
        <f t="shared" si="4"/>
        <v>0</v>
      </c>
      <c r="AF18" s="899">
        <f t="shared" si="4"/>
        <v>190</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38</v>
      </c>
      <c r="BE18" s="899">
        <f t="shared" si="4"/>
        <v>0</v>
      </c>
      <c r="BF18" s="899">
        <f t="shared" si="4"/>
        <v>0</v>
      </c>
      <c r="BG18" s="899">
        <f>IF(ISNUMBER(Datos!K18/Datos!J18),Datos!K18/Datos!J18," - ")</f>
        <v>0.92</v>
      </c>
      <c r="BH18" s="903">
        <f>IF(ISNUMBER(((Datos!L18/Datos!K18)*11)/factor_trimestre),((Datos!L18/Datos!K18)*11)/factor_trimestre," - ")</f>
        <v>6.195652173913043</v>
      </c>
      <c r="BI18" s="899">
        <f>SUBTOTAL(9,BI15:BI17)</f>
        <v>0.25</v>
      </c>
      <c r="BJ18" s="899">
        <f>SUBTOTAL(9,BJ15:BJ17)</f>
        <v>0</v>
      </c>
      <c r="BK18" s="899">
        <f>SUBTOTAL(9,BK15:BK17)</f>
        <v>0</v>
      </c>
      <c r="BL18" s="899">
        <f>IF(ISNUMBER((I18-AB18+L18)/(F18)),(I18-AB18+L18)/(F18)," - ")</f>
        <v>-0.50828729281767959</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182</v>
      </c>
      <c r="G19" s="820">
        <f t="shared" si="6"/>
        <v>183</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v>
      </c>
      <c r="AC19" s="821">
        <f t="shared" si="7"/>
        <v>20</v>
      </c>
      <c r="AD19" s="821">
        <f t="shared" si="7"/>
        <v>0</v>
      </c>
      <c r="AE19" s="821">
        <f t="shared" si="7"/>
        <v>0</v>
      </c>
      <c r="AF19" s="828">
        <f t="shared" si="7"/>
        <v>191</v>
      </c>
      <c r="AG19" s="828">
        <f t="shared" si="7"/>
        <v>0</v>
      </c>
      <c r="AH19" s="828">
        <f t="shared" si="7"/>
        <v>1</v>
      </c>
      <c r="AI19" s="828">
        <f t="shared" si="7"/>
        <v>0</v>
      </c>
      <c r="AJ19" s="821">
        <f t="shared" si="7"/>
        <v>0</v>
      </c>
      <c r="AK19" s="828">
        <f t="shared" si="7"/>
        <v>0</v>
      </c>
      <c r="AL19" s="828">
        <f t="shared" si="7"/>
        <v>0</v>
      </c>
      <c r="AM19" s="828">
        <f t="shared" si="7"/>
        <v>220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v>
      </c>
      <c r="BD19" s="820">
        <f t="shared" si="7"/>
        <v>74</v>
      </c>
      <c r="BE19" s="820">
        <f t="shared" si="7"/>
        <v>0</v>
      </c>
      <c r="BF19" s="830">
        <f t="shared" si="7"/>
        <v>0</v>
      </c>
      <c r="BG19" s="915">
        <f>IF(ISNUMBER(Datos!K19/Datos!J19),Datos!K19/Datos!J19," - ")</f>
        <v>0.86111111111111116</v>
      </c>
      <c r="BH19" s="915">
        <f>IF(ISNUMBER(((Datos!L19/Datos!K19)*11)/factor_trimestre),((Datos!L19/Datos!K19)*11)/factor_trimestre," - ")</f>
        <v>3.763440860215054</v>
      </c>
      <c r="BI19" s="813">
        <f>IF(ISNUMBER(Datos!J19/Datos!I19),Datos!J19/Datos!I19," - ")</f>
        <v>1.062295081967213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-0.51098901098901095</v>
      </c>
      <c r="BM19" s="889">
        <f>IF(ISNUMBER((Datos!P19-Datos!Q19+R19)/(Datos!R19-Datos!P19+Datos!Q19-R19)),(Datos!P19-Datos!Q19+R19)/(Datos!R19-Datos!P19+Datos!Q19-R19)," - ")</f>
        <v>0.25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103.92304845413264</v>
      </c>
      <c r="G21" s="552">
        <f>IF(ISNUMBER(STDEV(G8:G18)),STDEV(G8:G18),"-")</f>
        <v>98.864553809745189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50.026992713933943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62.143918983812625</v>
      </c>
      <c r="BD21" s="551"/>
      <c r="BE21" s="551">
        <f>IF(ISNUMBER(STDEV(BE8:BE18)),STDEV(BE8:BE18),"-")</f>
        <v>0</v>
      </c>
      <c r="BF21" s="556">
        <f>IF(ISNUMBER(STDEV(BF8:BF18)),STDEV(BF8:BF18),"-")</f>
        <v>0</v>
      </c>
      <c r="BG21" s="775">
        <f>IF(ISNUMBER(STDEV(BG8:BG18)),STDEV(BG8:BG18),"-")</f>
        <v>0.3767446607187771</v>
      </c>
      <c r="BH21" s="776">
        <f>IF(ISNUMBER(STDEV(BH8:BH18)),STDEV(BH8:BH18),"-")</f>
        <v>1.889882436251209</v>
      </c>
      <c r="BI21" s="249">
        <f>IF(ISNUMBER(STDEV(BI8:BI18)),STDEV(BI8:BI18),"-")</f>
        <v>0.25164612518343643</v>
      </c>
      <c r="BJ21" s="230" t="str">
        <f>IF(ISNUMBER(BL21/BM21),BL21/BM21," - ")</f>
        <v xml:space="preserve"> - </v>
      </c>
      <c r="BK21" s="575"/>
      <c r="BL21" s="559">
        <f>IF(ISNUMBER(STDEV(BL8:BL18)),STDEV(BL8:BL18),"-")</f>
        <v>0.34769338964421381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I7pO6S9KE0od3Vic54ycaE3xbJnXYj8DX9Zqto1YnUrOUffY9rTlJe35GtgnyLPlbGeQxUUK6o98gl25uEG4w==" saltValue="PFwNsGZRMovH2/DAfPds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CISTIERNA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203</v>
      </c>
      <c r="AF12" s="229" t="str">
        <f>IF(ISNUMBER(Datos!BV12),Datos!BV12," - ")</f>
        <v xml:space="preserve"> - </v>
      </c>
      <c r="AG12" s="225" t="str">
        <f>IF(ISNUMBER(Datos!DV12),Datos!DV12," - ")</f>
        <v xml:space="preserve"> - </v>
      </c>
      <c r="AH12" s="298"/>
      <c r="AI12" s="227"/>
      <c r="AJ12" s="225">
        <f>IF(ISNUMBER(Datos!M12),Datos!M12," - ")</f>
        <v>130</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2.5263157894736845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0.26874999999999999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v>
      </c>
      <c r="AA13" s="900">
        <f t="shared" si="2"/>
        <v>1</v>
      </c>
      <c r="AB13" s="900">
        <f t="shared" si="2"/>
        <v>0</v>
      </c>
      <c r="AC13" s="900">
        <f t="shared" si="2"/>
        <v>0</v>
      </c>
      <c r="AD13" s="900">
        <f t="shared" si="2"/>
        <v>0</v>
      </c>
      <c r="AE13" s="900">
        <f t="shared" si="2"/>
        <v>203</v>
      </c>
      <c r="AF13" s="908">
        <f t="shared" si="2"/>
        <v>0</v>
      </c>
      <c r="AG13" s="908">
        <f t="shared" si="2"/>
        <v>0</v>
      </c>
      <c r="AH13" s="908">
        <f t="shared" si="2"/>
        <v>0</v>
      </c>
      <c r="AI13" s="908">
        <f t="shared" si="2"/>
        <v>0</v>
      </c>
      <c r="AJ13" s="908">
        <f t="shared" si="2"/>
        <v>131</v>
      </c>
      <c r="AK13" s="908">
        <f t="shared" si="2"/>
        <v>36</v>
      </c>
      <c r="AL13" s="908">
        <f t="shared" si="2"/>
        <v>0</v>
      </c>
      <c r="AM13" s="908">
        <f t="shared" si="2"/>
        <v>0</v>
      </c>
      <c r="AN13" s="908">
        <f t="shared" si="2"/>
        <v>0</v>
      </c>
      <c r="AO13" s="904">
        <f>IF(ISNUMBER(((NºAsuntos!I13/NºAsuntos!G13)*11)/factor_trimestre),((NºAsuntos!I13/NºAsuntos!G13)*11)/factor_trimestre," - ")</f>
        <v>2.5287958115183247</v>
      </c>
      <c r="AP13" s="910" t="str">
        <f>IF(ISNUMBER(Datos!CI13/Datos!CJ13),Datos!CI13/Datos!CJ13," - ")</f>
        <v xml:space="preserve"> - </v>
      </c>
      <c r="AQ13" s="928">
        <f t="shared" ref="AQ13:AV13" si="3">SUBTOTAL(9,AQ9:AQ12)</f>
        <v>0</v>
      </c>
      <c r="AR13" s="928">
        <f t="shared" si="3"/>
        <v>0.26874999999999999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181</v>
      </c>
      <c r="G16" s="225">
        <f>IF(ISNUMBER(IF(D_I="SI",Datos!I16,Datos!I16+Datos!AC16)),IF(D_I="SI",Datos!I16,Datos!I16+Datos!AC16)," - ")</f>
        <v>181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v>
      </c>
      <c r="Z16" s="619">
        <f>IF(ISNUMBER(Datos!Q16),Datos!Q16," - ")</f>
        <v>3</v>
      </c>
      <c r="AA16" s="332">
        <f>IF(ISNUMBER(IF(D_I="SI",Datos!L16,Datos!L16+Datos!AF16)),IF(D_I="SI",Datos!L16,Datos!L16+Datos!AF16)," - ")</f>
        <v>186</v>
      </c>
      <c r="AB16" s="334"/>
      <c r="AC16" s="334"/>
      <c r="AD16" s="484"/>
      <c r="AE16" s="484">
        <f>IF(ISNUMBER(Datos!R16),Datos!R16," - ")</f>
        <v>17</v>
      </c>
      <c r="AF16" s="229" t="str">
        <f>IF(ISNUMBER(Datos!BV16),Datos!BV16," - ")</f>
        <v xml:space="preserve"> - </v>
      </c>
      <c r="AG16" s="225"/>
      <c r="AH16" s="298"/>
      <c r="AI16" s="227"/>
      <c r="AJ16" s="225">
        <f>IF(ISNUMBER(Datos!M16),Datos!M16," - ")</f>
        <v>23</v>
      </c>
      <c r="AK16" s="229">
        <f>IF(ISNUMBER(Datos!N16),Datos!N16," - ")</f>
        <v>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6.0652173913043486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181</v>
      </c>
      <c r="G18" s="898">
        <f>SUBTOTAL(9,G15:G17)</f>
        <v>182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v>
      </c>
      <c r="Z18" s="932">
        <f t="shared" si="5"/>
        <v>3</v>
      </c>
      <c r="AA18" s="932">
        <f t="shared" si="5"/>
        <v>190</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23</v>
      </c>
      <c r="AK18" s="932">
        <f t="shared" si="5"/>
        <v>38</v>
      </c>
      <c r="AL18" s="932">
        <f t="shared" si="5"/>
        <v>0</v>
      </c>
      <c r="AM18" s="932">
        <f t="shared" si="5"/>
        <v>0</v>
      </c>
      <c r="AN18" s="932">
        <f t="shared" si="5"/>
        <v>0</v>
      </c>
      <c r="AO18" s="934">
        <f>IF(ISNUMBER(((NºAsuntos!I18/NºAsuntos!G18)*11)/factor_trimestre),((NºAsuntos!I18/NºAsuntos!G18)*11)/factor_trimestre," - ")</f>
        <v>6.195652173913043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182</v>
      </c>
      <c r="G19" s="820">
        <f t="shared" si="7"/>
        <v>183</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v>
      </c>
      <c r="Z19" s="827">
        <f t="shared" si="8"/>
        <v>20</v>
      </c>
      <c r="AA19" s="828">
        <f t="shared" si="8"/>
        <v>191</v>
      </c>
      <c r="AB19" s="828">
        <f t="shared" si="8"/>
        <v>0</v>
      </c>
      <c r="AC19" s="828">
        <f t="shared" si="8"/>
        <v>0</v>
      </c>
      <c r="AD19" s="829">
        <f t="shared" si="8"/>
        <v>0</v>
      </c>
      <c r="AE19" s="829">
        <f t="shared" si="8"/>
        <v>220</v>
      </c>
      <c r="AF19" s="830">
        <f t="shared" si="8"/>
        <v>0</v>
      </c>
      <c r="AG19" s="831">
        <f t="shared" si="8"/>
        <v>0</v>
      </c>
      <c r="AH19" s="832">
        <f t="shared" si="8"/>
        <v>0</v>
      </c>
      <c r="AI19" s="830">
        <f t="shared" si="8"/>
        <v>0</v>
      </c>
      <c r="AJ19" s="820">
        <f t="shared" si="8"/>
        <v>154</v>
      </c>
      <c r="AK19" s="820">
        <f t="shared" si="8"/>
        <v>74</v>
      </c>
      <c r="AL19" s="820">
        <f t="shared" si="8"/>
        <v>0</v>
      </c>
      <c r="AM19" s="833">
        <f t="shared" si="8"/>
        <v>0</v>
      </c>
      <c r="AN19" s="823">
        <f>IF(ISNUMBER(Datos!K19/Datos!J19),Datos!K19/Datos!J19," - ")</f>
        <v>0.86111111111111116</v>
      </c>
      <c r="AO19" s="823">
        <f>IF(ISNUMBER(FIND("06",Criterios!A8,1)),(IF(ISNUMBER(((Datos!R19/Datos!Q19)*11)/factor_trimestre),((Datos!R19/Datos!Q19)*11)/factor_trimestre," - ")),(IF(ISNUMBER(((Datos!L19/Datos!K19)*11)/factor_trimestre),((Datos!L19/Datos!K19)*11)/factor_trimestre," - ")))</f>
        <v>3.763440860215054</v>
      </c>
      <c r="AP19" s="834" t="str">
        <f>IF(ISNUMBER(Datos!CI19/Datos!CJ19),Datos!CI19/Datos!CJ19," - ")</f>
        <v xml:space="preserve"> - </v>
      </c>
      <c r="AQ19" s="834">
        <f>IF(OR(ISNUMBER(FIND("01",Criterios!A8,1)),ISNUMBER(FIND("02",Criterios!A8,1)),ISNUMBER(FIND("03",Criterios!A8,1)),ISNUMBER(FIND("04",Criterios!A8,1))),(J19-Y19+K19)/(F19-K19),(I19-Y19+K19)/(F19-K19))</f>
        <v>-0.51098901098901095</v>
      </c>
      <c r="AR19" s="834">
        <f>IF(ISNUMBER((Datos!P19-Datos!Q19+O19)/(Datos!R19-Datos!P19+Datos!Q19-O19)),(Datos!P19-Datos!Q19+O19)/(Datos!R19-Datos!P19+Datos!Q19-O19)," - ")</f>
        <v>0.25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103.92304845413264</v>
      </c>
      <c r="G21" s="552">
        <f>IF(ISNUMBER(STDEV(G8:G18)),STDEV(G8:G18),"-")</f>
        <v>98.864553809745189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62.143918983812625</v>
      </c>
      <c r="AK21" s="252"/>
      <c r="AL21" s="252">
        <f>IF(ISNUMBER(STDEV(AL8:AL18)),STDEV(AL8:AL18),"-")</f>
        <v>0</v>
      </c>
      <c r="AM21" s="254">
        <f>IF(ISNUMBER(STDEV(AM8:AM18)),STDEV(AM8:AM18),"-")</f>
        <v>0</v>
      </c>
      <c r="AN21" s="539">
        <f>IF(ISNUMBER(STDEV(AN8:AN18)),STDEV(AN8:AN18),"-")</f>
        <v>0</v>
      </c>
      <c r="AO21" s="540">
        <f>IF(ISNUMBER(STDEV(AO8:AO18)),STDEV(AO8:AO18),"-")</f>
        <v>1.8975134676225496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xGczLxtnoshH0Pg9KnN3aL91JTLYFaOXqOqaT6H0tZj4VCVP+k5j+ddeBkYqB/kb5xTzcWr5uSXe/sbGQFWaw==" saltValue="yO2RMS7XqS6BXxywvmez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BcdvseXx/33PVCgZSJyxs2WYwEnHzJ7G3/uVGJBlqMWcG6o3CRwZBiHBOv0mWf3Kij9qxarqng77a11RhqDRw==" saltValue="lTfezNQ/CwEjA71covCh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nYENWSV2X+ngo+Lz62HJ0upyg/rZhf/rpeefnFl4+1W+JmXfNyyhD35wV7Nf+FTjjM8HaeS+NI56gypEktZEw==" saltValue="QNlccNU62GPdFdQGCuQe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0.68586387434554974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0.48497899652061638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CLsR1lIH55FFtlWEnW9wUXIkjGRwPLOcF7uRhxMIuUu+cZbJab/wASeq+XD5AQx4X1jEhv5fAc5kue/XqVg3w==" saltValue="C7/PhIHB38jlsBdIchy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sXMBtkEmg1JJaF2UQ1IeC5EMlXwxnUgijhX3vOJULu3ArQnR+QZsYO2pCkL9vVOa5XKGF/mXGNbqPvFJ7ImVA==" saltValue="cPDYp5szWq3uuF47Hyzm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CISTIERNA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126</v>
      </c>
      <c r="D12" s="404">
        <f>IF(ISNUMBER(C12/Datos!BH12),C12/Datos!BH12," - ")</f>
        <v>126</v>
      </c>
      <c r="E12" s="403">
        <f>IF(ISNUMBER(IF(J_V="SI",Datos!J12,Datos!J12+Datos!Z12)),IF(J_V="SI",Datos!J12,Datos!J12+Datos!Z12)," - ")</f>
        <v>224</v>
      </c>
      <c r="F12" s="404">
        <f>IF(ISNUMBER(E12/B12),E12/B12," - ")</f>
        <v>224</v>
      </c>
      <c r="G12" s="403">
        <f>IF(ISNUMBER(IF(J_V="SI",Datos!K12,Datos!K12+Datos!AA12)),IF(J_V="SI",Datos!K12,Datos!K12+Datos!AA12)," - ")</f>
        <v>190</v>
      </c>
      <c r="H12" s="404">
        <f>IF(ISNUMBER(G12/B12),G12/B12," - ")</f>
        <v>190</v>
      </c>
      <c r="I12" s="403">
        <f>IF(ISNUMBER(IF(J_V="SI",Datos!L12,Datos!L12+Datos!AB12)),IF(J_V="SI",Datos!L12,Datos!L12+Datos!AB12)," - ")</f>
        <v>160</v>
      </c>
      <c r="J12" s="404">
        <f>IF(ISNUMBER(I12/B12),I12/B12," - ")</f>
        <v>160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127</v>
      </c>
      <c r="D13" s="850" t="str">
        <f>IF(ISNUMBER(C13/Datos!BI13),C13/Datos!BI13," - ")</f>
        <v xml:space="preserve"> - </v>
      </c>
      <c r="E13" s="849">
        <f>SUBTOTAL(9,E8:E12)</f>
        <v>225</v>
      </c>
      <c r="F13" s="850">
        <f>IF(ISNUMBER(E13/B13),E13/B13," - ")</f>
        <v>225</v>
      </c>
      <c r="G13" s="849">
        <f>SUBTOTAL(9,G8:G12)</f>
        <v>191</v>
      </c>
      <c r="H13" s="850">
        <f>IF(ISNUMBER(G13/B13),G13/B13," - ")</f>
        <v>191</v>
      </c>
      <c r="I13" s="849">
        <f>SUBTOTAL(9,I8:I12)</f>
        <v>161</v>
      </c>
      <c r="J13" s="850">
        <f>IF(ISNUMBER(I13/B13),I13/B13," - ")</f>
        <v>161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181</v>
      </c>
      <c r="D16" s="404">
        <f>IF(ISNUMBER(C16/Datos!BH16),C16/Datos!BH16," - ")</f>
        <v>181</v>
      </c>
      <c r="E16" s="403">
        <f>IF(ISNUMBER(IF(D_I="SI",Datos!J16,Datos!J16+Datos!AD16)),IF(D_I="SI",Datos!J16,Datos!J16+Datos!AD16)," - ")</f>
        <v>97</v>
      </c>
      <c r="F16" s="404">
        <f>IF(ISNUMBER(E16/B16),E16/B16," - ")</f>
        <v>97</v>
      </c>
      <c r="G16" s="403">
        <f>IF(ISNUMBER(IF(D_I="SI",Datos!K16,Datos!K16+Datos!AE16)),IF(D_I="SI",Datos!K16,Datos!K16+Datos!AE16)," - ")</f>
        <v>92</v>
      </c>
      <c r="H16" s="404">
        <f>IF(ISNUMBER(G16/B16),G16/B16," - ")</f>
        <v>92</v>
      </c>
      <c r="I16" s="403">
        <f>IF(ISNUMBER(IF(D_I="SI",Datos!L16,Datos!L16+Datos!AF16)),IF(D_I="SI",Datos!L16,Datos!L16+Datos!AF16)," - ")</f>
        <v>186</v>
      </c>
      <c r="J16" s="404">
        <f>IF(ISNUMBER(I16/B16),I16/B16," - ")</f>
        <v>186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3</v>
      </c>
      <c r="F17" s="404">
        <f>IF(ISNUMBER(E17/B17),E17/B17," - ")</f>
        <v>3</v>
      </c>
      <c r="G17" s="403">
        <f>IF(ISNUMBER(IF(D_I="SI",Datos!K17,Datos!K17+Datos!AE17)),IF(D_I="SI",Datos!K17,Datos!K17+Datos!AE17)," - ")</f>
        <v>0</v>
      </c>
      <c r="H17" s="404">
        <f>IF(ISNUMBER(G17/B17),G17/B17," - ")</f>
        <v>0</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182</v>
      </c>
      <c r="D18" s="850" t="str">
        <f>IF(ISNUMBER(C18/Datos!BI18),C18/Datos!BI18," - ")</f>
        <v xml:space="preserve"> - </v>
      </c>
      <c r="E18" s="849">
        <f>SUBTOTAL(9,E14:E17)</f>
        <v>100</v>
      </c>
      <c r="F18" s="850">
        <f>IF(ISNUMBER(E18/B18),E18/B18," - ")</f>
        <v>100</v>
      </c>
      <c r="G18" s="849">
        <f>SUBTOTAL(9,G14:G17)</f>
        <v>92</v>
      </c>
      <c r="H18" s="850">
        <f>IF(ISNUMBER(G18/B18),G18/B18," - ")</f>
        <v>92</v>
      </c>
      <c r="I18" s="849">
        <f>SUBTOTAL(9,I14:I17)</f>
        <v>190</v>
      </c>
      <c r="J18" s="850">
        <f>IF(ISNUMBER(I18/B18),I18/B18," - ")</f>
        <v>190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309</v>
      </c>
      <c r="D19" s="795" t="str">
        <f>IF(ISNUMBER(C19/Datos!BI19),C19/Datos!BI19," - ")</f>
        <v xml:space="preserve"> - </v>
      </c>
      <c r="E19" s="794">
        <f>SUBTOTAL(9,E9:E18)</f>
        <v>325</v>
      </c>
      <c r="F19" s="795">
        <f>IF(ISNUMBER(E19/B19),E19/B19," - ")</f>
        <v>325</v>
      </c>
      <c r="G19" s="794">
        <f>SUBTOTAL(9,G9:G18)</f>
        <v>283</v>
      </c>
      <c r="H19" s="795">
        <f>IF(ISNUMBER(G19/B19),G19/B19," - ")</f>
        <v>283</v>
      </c>
      <c r="I19" s="794">
        <f>SUBTOTAL(9,I9:I18)</f>
        <v>351</v>
      </c>
      <c r="J19" s="795">
        <f>IF(ISNUMBER(I19/B19),I19/B19," - ")</f>
        <v>351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eOgBKARKZ+RHjZkY1nBnMgOXAaDmVPl2z0KGTRr7VFFkvDWkOQMkeUDXVohV0BKlXs9yzKSzU2UbQpOU5pomA==" saltValue="/7MX0UduIg+hmxkWzLwE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CISTIERNA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2.5263157894736845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0.26874999999999999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v>
      </c>
      <c r="AE13" s="939">
        <f t="shared" si="1"/>
        <v>0</v>
      </c>
      <c r="AF13" s="939">
        <f t="shared" si="1"/>
        <v>1</v>
      </c>
      <c r="AG13" s="939">
        <f t="shared" si="1"/>
        <v>0</v>
      </c>
      <c r="AH13" s="939">
        <f t="shared" si="1"/>
        <v>203</v>
      </c>
      <c r="AI13" s="939">
        <f t="shared" si="1"/>
        <v>0</v>
      </c>
      <c r="AJ13" s="939">
        <f t="shared" si="1"/>
        <v>0</v>
      </c>
      <c r="AK13" s="939">
        <f t="shared" si="1"/>
        <v>0</v>
      </c>
      <c r="AL13" s="939">
        <f t="shared" si="1"/>
        <v>131</v>
      </c>
      <c r="AM13" s="939">
        <f t="shared" si="1"/>
        <v>36</v>
      </c>
      <c r="AN13" s="939">
        <f t="shared" si="1"/>
        <v>0</v>
      </c>
      <c r="AO13" s="939">
        <f t="shared" si="1"/>
        <v>0</v>
      </c>
      <c r="AP13" s="944">
        <f>IF(ISNUMBER(((Datos!L13/Datos!K13)*11)/factor_trimestre),((Datos!L13/Datos!K13)*11)/factor_trimestre," - ")</f>
        <v>2.5668449197860963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0.26874999999999999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6.195652173913043</v>
      </c>
      <c r="AQ18" s="944">
        <f>IF(ISNUMBER(((Datos!M18/Datos!L18)*11)/factor_trimestre),((Datos!M18/Datos!L18)*11)/factor_trimestre," - ")</f>
        <v>0.36315789473684212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-6.5116279069767441E-2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v>
      </c>
      <c r="AE19" s="957">
        <f t="shared" si="5"/>
        <v>0</v>
      </c>
      <c r="AF19" s="958">
        <f t="shared" si="5"/>
        <v>1</v>
      </c>
      <c r="AG19" s="958">
        <f t="shared" si="5"/>
        <v>0</v>
      </c>
      <c r="AH19" s="958">
        <f t="shared" si="5"/>
        <v>203</v>
      </c>
      <c r="AI19" s="958">
        <f t="shared" si="5"/>
        <v>0</v>
      </c>
      <c r="AJ19" s="959">
        <f t="shared" si="5"/>
        <v>0</v>
      </c>
      <c r="AK19" s="959">
        <f t="shared" si="5"/>
        <v>0</v>
      </c>
      <c r="AL19" s="951">
        <f t="shared" si="5"/>
        <v>131</v>
      </c>
      <c r="AM19" s="951">
        <f t="shared" si="5"/>
        <v>36</v>
      </c>
      <c r="AN19" s="951">
        <f t="shared" si="5"/>
        <v>0</v>
      </c>
      <c r="AO19" s="951">
        <f t="shared" si="5"/>
        <v>0</v>
      </c>
      <c r="AP19" s="951">
        <f>IF(ISNUMBER(((Datos!L19/Datos!K19)*11)/factor_trimestre),((Datos!L19/Datos!K19)*11)/factor_trimestre," - ")</f>
        <v>3.763440860215054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75.057755539761956</v>
      </c>
      <c r="AM21" s="736"/>
      <c r="AN21" s="736">
        <f>IF(ISNUMBER(STDEV(AN8:AN18)),STDEV(AN8:AN18),"-")</f>
        <v>0</v>
      </c>
      <c r="AO21" s="742">
        <f>IF(ISNUMBER(STDEV(AO8:AO18)),STDEV(AO8:AO18),"-")</f>
        <v>0</v>
      </c>
      <c r="AP21" s="779">
        <f>IF(ISNUMBER(STDEV(AP8:AP18)),STDEV(AP8:AP18),"-")</f>
        <v>1.7620562578899817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3SELuPD3fmzaFtapuIq5OnRZB8TG5nQG00b1khuF3hyMFHg2rRLDxhG2CqFYc4+J0WxrpI72Ju3z/2vNpxFwkA==" saltValue="PwYkCO+2M5xahlMxlFRe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CISTIERNA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czCg+LcItXxuT44pWMh2LJuqjIpWEnMbWdud+bOEbVzV0RVmWh9hUJ4wqr4SgoPW6rUBvKZVZm0xnL6MIU0FQ==" saltValue="V169+LXslhbaGmFNR7Jc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CISTIERNA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130</v>
      </c>
      <c r="E12" s="404">
        <f t="shared" si="0"/>
        <v>130</v>
      </c>
      <c r="F12" s="403">
        <f>IF(ISNUMBER(Datos!N12),Datos!N12," - ")</f>
        <v>36</v>
      </c>
      <c r="G12" s="404">
        <f t="shared" si="1"/>
        <v>36</v>
      </c>
      <c r="H12" s="403">
        <f>IF(ISNUMBER(Datos!O12),Datos!O12," - ")</f>
        <v>33</v>
      </c>
      <c r="I12" s="404">
        <f t="shared" si="2"/>
        <v>33</v>
      </c>
      <c r="BZ12" s="1186">
        <f>Datos!EZ12</f>
        <v>0</v>
      </c>
    </row>
    <row r="13" spans="1:78" ht="14.25" thickTop="1" thickBot="1">
      <c r="A13" s="848" t="str">
        <f>Datos!A13</f>
        <v>TOTAL</v>
      </c>
      <c r="B13" s="849">
        <f>Datos!AP13</f>
        <v>1</v>
      </c>
      <c r="C13" s="851">
        <f>Datos!AR13</f>
        <v>1</v>
      </c>
      <c r="D13" s="849">
        <f>SUBTOTAL(9,D9:D12)</f>
        <v>131</v>
      </c>
      <c r="E13" s="850">
        <f t="shared" si="0"/>
        <v>131</v>
      </c>
      <c r="F13" s="849">
        <f>SUBTOTAL(9,F9:F12)</f>
        <v>36</v>
      </c>
      <c r="G13" s="850">
        <f t="shared" si="1"/>
        <v>36</v>
      </c>
      <c r="H13" s="849">
        <f>SUBTOTAL(9,H9:H12)</f>
        <v>33</v>
      </c>
      <c r="I13" s="850">
        <f>IF(ISNUMBER(H13/B13),H13/B13," - ")</f>
        <v>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37</v>
      </c>
      <c r="G16" s="404">
        <f t="shared" si="4"/>
        <v>37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38</v>
      </c>
      <c r="G18" s="850">
        <f t="shared" si="4"/>
        <v>38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154</v>
      </c>
      <c r="E19" s="795">
        <f>IF(ISNUMBER(D19/B19),D19/B19," - ")</f>
        <v>154</v>
      </c>
      <c r="F19" s="794">
        <f>SUBTOTAL(9,F8:F18)</f>
        <v>74</v>
      </c>
      <c r="G19" s="795">
        <f>IF(ISNUMBER(F19/B19),F19/B19," - ")</f>
        <v>74</v>
      </c>
      <c r="H19" s="794">
        <f>SUBTOTAL(9,H8:H18)</f>
        <v>33</v>
      </c>
      <c r="I19" s="795">
        <f>IF(ISNUMBER(H19/B19),H19/B19," - ")</f>
        <v>33</v>
      </c>
    </row>
    <row r="22" spans="1:78">
      <c r="A22" s="391" t="str">
        <f>Criterios!A4</f>
        <v>Fecha Informe: 27 feb. 2025</v>
      </c>
    </row>
    <row r="27" spans="1:78">
      <c r="A27" s="414"/>
    </row>
  </sheetData>
  <sheetProtection algorithmName="SHA-512" hashValue="/AS92qAqvSBftb5CRoXTIkGjWNmEYy2PwLpAk1slIKQlaSj34WTqeSec9wg0iZVy6VfxEhjYAdKOw4oX5OpEBA==" saltValue="u1xTqaVtXGraA24hrzeP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CISTIERNA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17</v>
      </c>
      <c r="D12" s="408">
        <f>IF(ISNUMBER(Datos!R12),Datos!R12," - ")</f>
        <v>203</v>
      </c>
    </row>
    <row r="13" spans="1:4" ht="14.25" thickTop="1" thickBot="1">
      <c r="A13" s="848" t="str">
        <f>Datos!A13</f>
        <v>TOTAL</v>
      </c>
      <c r="B13" s="849">
        <f>SUBTOTAL(9,B9:B12)</f>
        <v>60</v>
      </c>
      <c r="C13" s="853">
        <f>SUBTOTAL(9,C9:C12)</f>
        <v>17</v>
      </c>
      <c r="D13" s="851">
        <f>SUBTOTAL(9,D9:D12)</f>
        <v>203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17</v>
      </c>
    </row>
    <row r="19" spans="1:4" ht="16.5" customHeight="1" thickTop="1" thickBot="1">
      <c r="A19" s="793" t="str">
        <f>Datos!A19</f>
        <v>TOTAL JURISDICCIONES</v>
      </c>
      <c r="B19" s="798">
        <f>SUBTOTAL(9,B8:B18)</f>
        <v>64</v>
      </c>
      <c r="C19" s="799">
        <f>SUBTOTAL(9,C8:C18)</f>
        <v>20</v>
      </c>
      <c r="D19" s="800">
        <f>SUBTOTAL(9,D8:D18)</f>
        <v>220</v>
      </c>
    </row>
    <row r="20" spans="1:4" ht="7.5" customHeight="1"/>
    <row r="21" spans="1:4" ht="6" customHeight="1"/>
    <row r="22" spans="1:4">
      <c r="A22" s="391" t="str">
        <f>Criterios!A4</f>
        <v>Fecha Informe: 27 feb. 2025</v>
      </c>
    </row>
    <row r="27" spans="1:4">
      <c r="A27" s="414"/>
    </row>
  </sheetData>
  <sheetProtection algorithmName="SHA-512" hashValue="xgBxm3uH0Nye165jLCLgridszP5eIA/aAdh6c5v4/uNrBVfLNZVSiYGhqycmFWDQZh0899cNgpvj/DvwmGdrGQ==" saltValue="NN14w23BdHrIL1/tDQwT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CISTIERNA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-0.28813559322033899</v>
      </c>
      <c r="C12" s="456">
        <f>IF(ISNUMBER(
   IF(J_V="SI",(Datos!J12-Datos!T12)/Datos!T12,(Datos!J12+Datos!Z12-(Datos!T12+Datos!AH12))/(Datos!T12+Datos!AH12))
     ),IF(J_V="SI",(Datos!J12-Datos!T12)/Datos!T12,(Datos!J12+Datos!Z12-(Datos!T12+Datos!AH12))/(Datos!T12+Datos!AH12))," - ")</f>
        <v>1.1538461538461537</v>
      </c>
      <c r="D12" s="456">
        <f>IF(ISNUMBER(
   IF(J_V="SI",(Datos!K12-Datos!U12)/Datos!U12,(Datos!K12+Datos!AA12-(Datos!U12+Datos!AI12))/(Datos!U12+Datos!AI12))
     ),IF(J_V="SI",(Datos!K12-Datos!U12)/Datos!U12,(Datos!K12+Datos!AA12-(Datos!U12+Datos!AI12))/(Datos!U12+Datos!AI12))," - ")</f>
        <v>0.38686131386861317</v>
      </c>
      <c r="E12" s="456">
        <f>IF(ISNUMBER(
   IF(J_V="SI",(Datos!L12-Datos!V12)/Datos!V12,(Datos!L12+Datos!AB12-(Datos!V12+Datos!AJ12))/(Datos!V12+Datos!AJ12))
     ),IF(J_V="SI",(Datos!L12-Datos!V12)/Datos!V12,(Datos!L12+Datos!AB12-(Datos!V12+Datos!AJ12))/(Datos!V12+Datos!AJ12))," - ")</f>
        <v>0.1111111111111111</v>
      </c>
      <c r="F12" s="456">
        <f>IF(ISNUMBER((Datos!M12-Datos!W12)/Datos!W12),(Datos!M12-Datos!W12)/Datos!W12," - ")</f>
        <v>3.6428571428571428</v>
      </c>
      <c r="G12" s="457">
        <f>IF(ISNUMBER((Datos!N12-Datos!X12)/Datos!X12),(Datos!N12-Datos!X12)/Datos!X12," - ")</f>
        <v>-0.25</v>
      </c>
      <c r="H12" s="455">
        <f>IF(ISNUMBER(((NºAsuntos!G12/NºAsuntos!E12)-Datos!BD12)/Datos!BD12),((NºAsuntos!G12/NºAsuntos!E12)-Datos!BD12)/Datos!BD12," - ")</f>
        <v>-0.35610010427528677</v>
      </c>
      <c r="I12" s="456">
        <f>IF(ISNUMBER(((NºAsuntos!I12/NºAsuntos!G12)-Datos!BE12)/Datos!BE12),((NºAsuntos!I12/NºAsuntos!G12)-Datos!BE12)/Datos!BE12," - ")</f>
        <v>-0.19883040935672522</v>
      </c>
      <c r="J12" s="461">
        <f>IF(ISNUMBER((('Resol  Asuntos'!D12/NºAsuntos!G12)-Datos!BF12)/Datos!BF12),(('Resol  Asuntos'!D12/NºAsuntos!G12)-Datos!BF12)/Datos!BF12," - ")</f>
        <v>0.95285087719298245</v>
      </c>
      <c r="K12" s="462">
        <f>IF(ISNUMBER((((NºAsuntos!C12+NºAsuntos!E12)/NºAsuntos!G12)-Datos!BG12)/Datos!BG12),(((NºAsuntos!C12+NºAsuntos!E12)/NºAsuntos!G12)-Datos!BG12)/Datos!BG12," - ")</f>
        <v>-0.10189174002622219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-0.2824858757062147</v>
      </c>
      <c r="C13" s="855">
        <f>IF(ISNUMBER(
   IF(J_V="SI",(Datos!J13-Datos!T13)/Datos!T13,(Datos!J13+Datos!Z13-(Datos!T13+Datos!AH13))/(Datos!T13+Datos!AH13))
     ),IF(J_V="SI",(Datos!J13-Datos!T13)/Datos!T13,(Datos!J13+Datos!Z13-(Datos!T13+Datos!AH13))/(Datos!T13+Datos!AH13))," - ")</f>
        <v>1.1634615384615385</v>
      </c>
      <c r="D13" s="855">
        <f>IF(ISNUMBER(
   IF(J_V="SI",(Datos!K13-Datos!U13)/Datos!U13,(Datos!K13+Datos!AA13-(Datos!U13+Datos!AI13))/(Datos!U13+Datos!AI13))
     ),IF(J_V="SI",(Datos!K13-Datos!U13)/Datos!U13,(Datos!K13+Datos!AA13-(Datos!U13+Datos!AI13))/(Datos!U13+Datos!AI13))," - ")</f>
        <v>0.39416058394160586</v>
      </c>
      <c r="E13" s="855">
        <f>IF(ISNUMBER(
   IF(J_V="SI",(Datos!L13-Datos!V13)/Datos!V13,(Datos!L13+Datos!AB13-(Datos!V13+Datos!AJ13))/(Datos!V13+Datos!AJ13))
     ),IF(J_V="SI",(Datos!L13-Datos!V13)/Datos!V13,(Datos!L13+Datos!AB13-(Datos!V13+Datos!AJ13))/(Datos!V13+Datos!AJ13))," - ")</f>
        <v>0.11805555555555555</v>
      </c>
      <c r="F13" s="856">
        <f>IF(ISNUMBER((Datos!M13-Datos!W13)/Datos!W13),(Datos!M13-Datos!W13)/Datos!W13," - ")</f>
        <v>3.6785714285714284</v>
      </c>
      <c r="G13" s="857">
        <f>IF(ISNUMBER((Datos!N13-Datos!X13)/Datos!X13),(Datos!N13-Datos!X13)/Datos!X13," - ")</f>
        <v>-0.25</v>
      </c>
      <c r="H13" s="857">
        <f>IF(ISNUMBER(((NºAsuntos!G13/NºAsuntos!E13)-Datos!BD13)/Datos!BD13),((NºAsuntos!G13/NºAsuntos!E13)-Datos!BD13)/Datos!BD13," - ")</f>
        <v>-0.35558799675587993</v>
      </c>
      <c r="I13" s="857">
        <f>IF(ISNUMBER(((NºAsuntos!I13/NºAsuntos!G13)-Datos!BE13)/Datos!BE13),((NºAsuntos!I13/NºAsuntos!G13)-Datos!BE13)/Datos!BE13," - ")</f>
        <v>-0.19804392088423511</v>
      </c>
      <c r="J13" s="857">
        <f>IF(ISNUMBER((('Resol  Asuntos'!D13/NºAsuntos!G13)-Datos!BF13)/Datos!BF13),(('Resol  Asuntos'!D13/NºAsuntos!G13)-Datos!BF13)/Datos!BF13," - ")</f>
        <v>0.95756980802792313</v>
      </c>
      <c r="K13" s="857">
        <f>IF(ISNUMBER((((NºAsuntos!C13+NºAsuntos!E13)/NºAsuntos!G13)-Datos!BG13)/Datos!BG13),(((NºAsuntos!C13+NºAsuntos!E13)/NºAsuntos!G13)-Datos!BG13)/Datos!BG13," - ")</f>
        <v>-0.10148869967021301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-7.6530612244897961E-2</v>
      </c>
      <c r="C16" s="456">
        <f>IF(ISNUMBER(
   IF(D_I="SI",(Datos!J16-Datos!T16)/Datos!T16,(Datos!J16+Datos!AD16-(Datos!T16+Datos!AL16))/(Datos!T16+Datos!AL16))
     ),IF(D_I="SI",(Datos!J16-Datos!T16)/Datos!T16,(Datos!J16+Datos!AD16-(Datos!T16+Datos!AL16))/(Datos!T16+Datos!AL16))," - ")</f>
        <v>0.3108108108108108</v>
      </c>
      <c r="D16" s="456">
        <f>IF(ISNUMBER(
   IF(D_I="SI",(Datos!K16-Datos!U16)/Datos!U16,(Datos!K16+Datos!AE16-(Datos!U16+Datos!AM16))/(Datos!U16+Datos!AM16))
     ),IF(D_I="SI",(Datos!K16-Datos!U16)/Datos!U16,(Datos!K16+Datos!AE16-(Datos!U16+Datos!AM16))/(Datos!U16+Datos!AM16))," - ")</f>
        <v>0.37313432835820898</v>
      </c>
      <c r="E16" s="456">
        <f>IF(ISNUMBER(
   IF(D_I="SI",(Datos!L16-Datos!V16)/Datos!V16,(Datos!L16+Datos!AF16-(Datos!V16+Datos!AN16))/(Datos!V16+Datos!AN16))
     ),IF(D_I="SI",(Datos!L16-Datos!V16)/Datos!V16,(Datos!L16+Datos!AF16-(Datos!V16+Datos!AN16))/(Datos!V16+Datos!AN16))," - ")</f>
        <v>-8.3743842364532015E-2</v>
      </c>
      <c r="F16" s="456">
        <f>IF(ISNUMBER((Datos!M16-Datos!W16)/Datos!W16),(Datos!M16-Datos!W16)/Datos!W16," - ")</f>
        <v>9.5238095238095233E-2</v>
      </c>
      <c r="G16" s="457">
        <f>IF(ISNUMBER((Datos!N16-Datos!X16)/Datos!X16),(Datos!N16-Datos!X16)/Datos!X16," - ")</f>
        <v>1.0555555555555556</v>
      </c>
      <c r="H16" s="455">
        <f>IF(ISNUMBER(((NºAsuntos!G16/NºAsuntos!E16)-Datos!BD16)/Datos!BD16),((NºAsuntos!G16/NºAsuntos!E16)-Datos!BD16)/Datos!BD16," - ")</f>
        <v>4.7545776273272805E-2</v>
      </c>
      <c r="I16" s="456">
        <f>IF(ISNUMBER(((NºAsuntos!I16/NºAsuntos!G16)-Datos!BE16)/Datos!BE16),((NºAsuntos!I16/NºAsuntos!G16)-Datos!BE16)/Datos!BE16," - ")</f>
        <v>-0.33272649389590919</v>
      </c>
      <c r="J16" s="461">
        <f>IF(ISNUMBER((('Resol  Asuntos'!D16/NºAsuntos!G16)-Datos!BF16)/Datos!BF16),(('Resol  Asuntos'!D16/NºAsuntos!G16)-Datos!BF16)/Datos!BF16," - ")</f>
        <v>-0.20238095238095241</v>
      </c>
      <c r="K16" s="462">
        <f>IF(ISNUMBER((((NºAsuntos!C16+NºAsuntos!E16)/NºAsuntos!G16)-Datos!BG16)/Datos!BG16),(((NºAsuntos!C16+NºAsuntos!E16)/NºAsuntos!G16)-Datos!BG16)/Datos!BG16," - ")</f>
        <v>-0.25016103059581313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-1</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-9.4527363184079602E-2</v>
      </c>
      <c r="C18" s="855">
        <f>IF(ISNUMBER(
   IF(Criterios!B14="SI",(Datos!J18-Datos!T18)/Datos!T18,(Datos!J18+Datos!AD18-(Datos!T18+Datos!AL18))/(Datos!T18+Datos!AL18))
     ),IF(Criterios!B14="SI",(Datos!J18-Datos!T18)/Datos!T18,(Datos!J18+Datos!AD18-(Datos!T18+Datos!AL18))/(Datos!T18+Datos!AL18))," - ")</f>
        <v>0.31578947368421051</v>
      </c>
      <c r="D18" s="855">
        <f>IF(ISNUMBER(
   IF(Criterios!B14="SI",(Datos!K18-Datos!U18)/Datos!U18,(Datos!K18+Datos!AE18-(Datos!U18+Datos!AM18))/(Datos!U18+Datos!AM18))
     ),IF(Criterios!B14="SI",(Datos!K18-Datos!U18)/Datos!U18,(Datos!K18+Datos!AE18-(Datos!U18+Datos!AM18))/(Datos!U18+Datos!AM18))," - ")</f>
        <v>0.27777777777777779</v>
      </c>
      <c r="E18" s="855">
        <f>IF(ISNUMBER(
   IF(Criterios!B14="SI",(Datos!L18-Datos!V18)/Datos!V18,(Datos!L18+Datos!AF18-(Datos!V18+Datos!AN18))/(Datos!V18+Datos!AN18))
     ),IF(Criterios!B14="SI",(Datos!L18-Datos!V18)/Datos!V18,(Datos!L18+Datos!AF18-(Datos!V18+Datos!AN18))/(Datos!V18+Datos!AN18))," - ")</f>
        <v>-7.3170731707317069E-2</v>
      </c>
      <c r="F18" s="856">
        <f>IF(ISNUMBER((Datos!M18-Datos!W18)/Datos!W18),(Datos!M18-Datos!W18)/Datos!W18," - ")</f>
        <v>9.5238095238095233E-2</v>
      </c>
      <c r="G18" s="857">
        <f>IF(ISNUMBER((Datos!N18-Datos!X18)/Datos!X18),(Datos!N18-Datos!X18)/Datos!X18," - ")</f>
        <v>0.9</v>
      </c>
      <c r="H18" s="857">
        <f>IF(ISNUMBER(((NºAsuntos!G18/NºAsuntos!E18)-Datos!BD18)/Datos!BD18),((NºAsuntos!G18/NºAsuntos!E18)-Datos!BD18)/Datos!BD18," - ")</f>
        <v>-2.8888888888888794E-2</v>
      </c>
      <c r="I18" s="857">
        <f>IF(ISNUMBER(((NºAsuntos!I18/NºAsuntos!G18)-Datos!BE18)/Datos!BE18),((NºAsuntos!I18/NºAsuntos!G18)-Datos!BE18)/Datos!BE18," - ")</f>
        <v>-0.27465535524920476</v>
      </c>
      <c r="J18" s="857">
        <f>IF(ISNUMBER((('Resol  Asuntos'!D18/NºAsuntos!G18)-Datos!BF18)/Datos!BF18),(('Resol  Asuntos'!D18/NºAsuntos!G18)-Datos!BF18)/Datos!BF18," - ")</f>
        <v>-0.1428571428571429</v>
      </c>
      <c r="K18" s="857">
        <f>IF(ISNUMBER((((NºAsuntos!C18+NºAsuntos!E18)/NºAsuntos!G18)-Datos!BG18)/Datos!BG18),(((NºAsuntos!C18+NºAsuntos!E18)/NºAsuntos!G18)-Datos!BG18)/Datos!BG18," - ")</f>
        <v>-0.20326479359598185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-0.18253968253968253</v>
      </c>
      <c r="C19" s="802">
        <f>IF(ISNUMBER(
   IF(J_V="SI",(Datos!J19-Datos!T19)/Datos!T19,(Datos!J19+Datos!Z19-(Datos!T19+Datos!AH19))/(Datos!T19+Datos!AH19))
     ),IF(J_V="SI",(Datos!J19-Datos!T19)/Datos!T19,(Datos!J19+Datos!Z19-(Datos!T19+Datos!AH19))/(Datos!T19+Datos!AH19))," - ")</f>
        <v>0.80555555555555558</v>
      </c>
      <c r="D19" s="802">
        <f>IF(ISNUMBER(
   IF(J_V="SI",(Datos!K19-Datos!U19)/Datos!U19,(Datos!K19+Datos!AA19-(Datos!U19+Datos!AI19))/(Datos!U19+Datos!AI19))
     ),IF(J_V="SI",(Datos!K19-Datos!U19)/Datos!U19,(Datos!K19+Datos!AA19-(Datos!U19+Datos!AI19))/(Datos!U19+Datos!AI19))," - ")</f>
        <v>0.35406698564593303</v>
      </c>
      <c r="E19" s="802">
        <f>IF(ISNUMBER(
   IF(J_V="SI",(Datos!L19-Datos!V19)/Datos!V19,(Datos!L19+Datos!AB19-(Datos!V19+Datos!AJ19))/(Datos!V19+Datos!AJ19))
     ),IF(J_V="SI",(Datos!L19-Datos!V19)/Datos!V19,(Datos!L19+Datos!AB19-(Datos!V19+Datos!AJ19))/(Datos!V19+Datos!AJ19))," - ")</f>
        <v>5.7306590257879654E-3</v>
      </c>
      <c r="F19" s="803">
        <f>IF(ISNUMBER((Datos!M19-Datos!W19)/Datos!W19),(Datos!M19-Datos!W19)/Datos!W19," - ")</f>
        <v>2.1428571428571428</v>
      </c>
      <c r="G19" s="804">
        <f>IF(ISNUMBER((Datos!N19-Datos!X19)/Datos!X19),(Datos!N19-Datos!X19)/Datos!X19," - ")</f>
        <v>8.8235294117647065E-2</v>
      </c>
      <c r="H19" s="805">
        <f>IF(ISNUMBER((Tasas!B19-Datos!BD19)/Datos!BD19),(Tasas!B19-Datos!BD19)/Datos!BD19," - ")</f>
        <v>-0.2500552079499449</v>
      </c>
      <c r="I19" s="806">
        <f>IF(ISNUMBER((Tasas!C19-Datos!BE19)/Datos!BE19),(Tasas!C19-Datos!BE19)/Datos!BE19," - ")</f>
        <v>-0.25725191612583154</v>
      </c>
      <c r="J19" s="807">
        <f>IF(ISNUMBER((Tasas!D19-Datos!BF19)/Datos!BF19),(Tasas!D19-Datos!BF19)/Datos!BF19," - ")</f>
        <v>0.64828186613407068</v>
      </c>
      <c r="K19" s="807">
        <f>IF(ISNUMBER((Tasas!E19-Datos!BG19)/Datos!BG19),(Tasas!E19-Datos!BG19)/Datos!BG19," - ")</f>
        <v>-0.1608977038134681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Ts8iY3om/rODAJWI8HT2P7QbDcjRc8JLmC5dWmqlACUqAFrizQF+tiJnaKjlc8pltY1baLJG79Z++lSGeebTg==" saltValue="oIYoSyTXkY10pi7KFqXe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CISTIERNA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0.8482142857142857</v>
      </c>
      <c r="C12" s="443">
        <f>IF(ISNUMBER(NºAsuntos!I12/NºAsuntos!G12),NºAsuntos!I12/NºAsuntos!G12," - ")</f>
        <v>0.84210526315789469</v>
      </c>
      <c r="D12" s="444">
        <f>IF(ISNUMBER('Resol  Asuntos'!D12/NºAsuntos!G12),'Resol  Asuntos'!D12/NºAsuntos!G12," - ")</f>
        <v>0.68421052631578949</v>
      </c>
      <c r="E12" s="445">
        <f>IF(ISNUMBER((NºAsuntos!C12+NºAsuntos!E12)/NºAsuntos!G12),(NºAsuntos!C12+NºAsuntos!E12)/NºAsuntos!G12," - ")</f>
        <v>1.8421052631578947</v>
      </c>
      <c r="G12" s="463"/>
    </row>
    <row r="13" spans="1:7" ht="14.25" thickTop="1" thickBot="1">
      <c r="A13" s="848" t="str">
        <f>Datos!A13</f>
        <v>TOTAL</v>
      </c>
      <c r="B13" s="858">
        <f>IF(ISNUMBER(NºAsuntos!G13/NºAsuntos!E13),NºAsuntos!G13/NºAsuntos!E13," - ")</f>
        <v>0.84888888888888892</v>
      </c>
      <c r="C13" s="859">
        <f>IF(ISNUMBER(NºAsuntos!I13/NºAsuntos!G13),NºAsuntos!I13/NºAsuntos!G13," - ")</f>
        <v>0.84293193717277481</v>
      </c>
      <c r="D13" s="860">
        <f>IF(ISNUMBER('Resol  Asuntos'!D13/NºAsuntos!G13),'Resol  Asuntos'!D13/NºAsuntos!G13," - ")</f>
        <v>0.68586387434554974</v>
      </c>
      <c r="E13" s="861">
        <f>IF(ISNUMBER((NºAsuntos!C13+NºAsuntos!E13)/NºAsuntos!G13),(NºAsuntos!C13+NºAsuntos!E13)/NºAsuntos!G13," - ")</f>
        <v>1.8429319371727748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0.94845360824742264</v>
      </c>
      <c r="C16" s="443">
        <f>IF(ISNUMBER(NºAsuntos!I16/NºAsuntos!G16),NºAsuntos!I16/NºAsuntos!G16," - ")</f>
        <v>2.0217391304347827</v>
      </c>
      <c r="D16" s="444">
        <f>IF(ISNUMBER('Resol  Asuntos'!D16/NºAsuntos!G16),'Resol  Asuntos'!D16/NºAsuntos!G16," - ")</f>
        <v>0.25</v>
      </c>
      <c r="E16" s="445">
        <f>IF(ISNUMBER((NºAsuntos!C16+NºAsuntos!E16)/NºAsuntos!G16),(NºAsuntos!C16+NºAsuntos!E16)/NºAsuntos!G16," - ")</f>
        <v>3.0217391304347827</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0.92</v>
      </c>
      <c r="C18" s="859">
        <f>IF(ISNUMBER(NºAsuntos!I18/NºAsuntos!G18),NºAsuntos!I18/NºAsuntos!G18," - ")</f>
        <v>2.0652173913043477</v>
      </c>
      <c r="D18" s="862">
        <f>IF(ISNUMBER('Resol  Asuntos'!D18/NºAsuntos!G18),'Resol  Asuntos'!D18/NºAsuntos!G18," - ")</f>
        <v>0.25</v>
      </c>
      <c r="E18" s="861">
        <f>IF(ISNUMBER((NºAsuntos!C18+NºAsuntos!E18)/NºAsuntos!G18),(NºAsuntos!C18+NºAsuntos!E18)/NºAsuntos!G18," - ")</f>
        <v>3.0652173913043477</v>
      </c>
      <c r="G18" s="463"/>
    </row>
    <row r="19" spans="1:7" ht="15.75" customHeight="1" thickTop="1" thickBot="1">
      <c r="A19" s="793" t="str">
        <f>Datos!A19</f>
        <v>TOTAL JURISDICCIONES</v>
      </c>
      <c r="B19" s="808">
        <f>IF(ISNUMBER(NºAsuntos!G19/NºAsuntos!E19),NºAsuntos!G19/NºAsuntos!E19," - ")</f>
        <v>0.87076923076923074</v>
      </c>
      <c r="C19" s="809">
        <f>IF(ISNUMBER(NºAsuntos!I19/NºAsuntos!G19),NºAsuntos!I19/NºAsuntos!G19," - ")</f>
        <v>1.2402826855123674</v>
      </c>
      <c r="D19" s="810">
        <f>IF(ISNUMBER('Resol  Asuntos'!D19/NºAsuntos!G19),'Resol  Asuntos'!D19/NºAsuntos!G19," - ")</f>
        <v>0.54416961130742048</v>
      </c>
      <c r="E19" s="811">
        <f>IF(ISNUMBER((NºAsuntos!C19+NºAsuntos!E19)/NºAsuntos!G19),(NºAsuntos!C19+NºAsuntos!E19)/NºAsuntos!G19," - ")</f>
        <v>2.2402826855123674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NvsI3nBgLyAS8jrdVrKpQupTIcDI+eDMKeoxKRRaDI5YsolcmahF4SbFUXvHrsYZ8XLejn7xRpxFN+KZv9uPA==" saltValue="58yjIoabu4M699wO0OiG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CISTIERNA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0.8482142857142857</v>
      </c>
      <c r="AM12" s="260">
        <f>IF(ISNUMBER(((NºAsuntos!I12/NºAsuntos!G12)*11)/factor_trimestre),((NºAsuntos!I12/NºAsuntos!G12)*11)/factor_trimestre," - ")</f>
        <v>2.5263157894736845</v>
      </c>
      <c r="AN12" s="244">
        <f>IF(ISNUMBER('Resol  Asuntos'!D12/NºAsuntos!G12),'Resol  Asuntos'!D12/NºAsuntos!G12," - ")</f>
        <v>0.68421052631578949</v>
      </c>
      <c r="AO12" s="245">
        <f>IF(ISNUMBER((NºAsuntos!C12+NºAsuntos!E12)/NºAsuntos!G12),(NºAsuntos!C12+NºAsuntos!E12)/NºAsuntos!G12," - ")</f>
        <v>1.8421052631578947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v>
      </c>
      <c r="Y13" s="868">
        <f t="shared" si="4"/>
        <v>18</v>
      </c>
      <c r="Z13" s="868">
        <f t="shared" si="4"/>
        <v>0</v>
      </c>
      <c r="AA13" s="868">
        <f t="shared" si="4"/>
        <v>1</v>
      </c>
      <c r="AB13" s="868">
        <f t="shared" si="4"/>
        <v>203</v>
      </c>
      <c r="AC13" s="868">
        <f t="shared" si="4"/>
        <v>1</v>
      </c>
      <c r="AD13" s="868">
        <f t="shared" si="4"/>
        <v>0</v>
      </c>
      <c r="AE13" s="872">
        <f t="shared" si="4"/>
        <v>0</v>
      </c>
      <c r="AF13" s="865">
        <f t="shared" si="4"/>
        <v>0</v>
      </c>
      <c r="AG13" s="873">
        <f t="shared" si="4"/>
        <v>0</v>
      </c>
      <c r="AH13" s="870">
        <f t="shared" si="4"/>
        <v>0</v>
      </c>
      <c r="AI13" s="865">
        <f t="shared" si="4"/>
        <v>131</v>
      </c>
      <c r="AJ13" s="867">
        <f t="shared" si="4"/>
        <v>0</v>
      </c>
      <c r="AK13" s="870">
        <f>SUBTOTAL(9,AK9:AK12)</f>
        <v>0</v>
      </c>
      <c r="AL13" s="874">
        <f>IF(ISNUMBER(NºAsuntos!G13/NºAsuntos!E13),NºAsuntos!G13/NºAsuntos!E13," - ")</f>
        <v>0.84888888888888892</v>
      </c>
      <c r="AM13" s="874">
        <f>IF(ISNUMBER(((NºAsuntos!I13/NºAsuntos!G13)*11)/factor_trimestre),((NºAsuntos!I13/NºAsuntos!G13)*11)/factor_trimestre," - ")</f>
        <v>2.5287958115183247</v>
      </c>
      <c r="AN13" s="875">
        <f>IF(ISNUMBER('Resol  Asuntos'!D13/NºAsuntos!G13),'Resol  Asuntos'!D13/NºAsuntos!G13," - ")</f>
        <v>0.68586387434554974</v>
      </c>
      <c r="AO13" s="876">
        <f>IF(ISNUMBER((NºAsuntos!C13+NºAsuntos!E13)/NºAsuntos!G13),(NºAsuntos!C13+NºAsuntos!E13)/NºAsuntos!G13," - ")</f>
        <v>1.8429319371727748</v>
      </c>
      <c r="AP13" s="877" t="str">
        <f t="shared" si="2"/>
        <v xml:space="preserve"> - </v>
      </c>
      <c r="AQ13" s="877">
        <f>IF(ISNUMBER((H13-W13+K13)/(F13)),(H13-W13+K13)/(F13)," - ")</f>
        <v>-1</v>
      </c>
      <c r="AR13" s="878">
        <f>IF(ISNUMBER((Datos!P13-Datos!Q13)/(Datos!R13-Datos!P13+Datos!Q13)),(Datos!P13-Datos!Q13)/(Datos!R13-Datos!P13+Datos!Q13)," - ")</f>
        <v>0.26874999999999999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181</v>
      </c>
      <c r="G16" s="333">
        <f>IF(ISNUMBER(IF(D_I="SI",Datos!I16,Datos!I16+Datos!AC16)),IF(D_I="SI",Datos!I16,Datos!I16+Datos!AC16)," - ")</f>
        <v>181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v>
      </c>
      <c r="X16" s="226">
        <f>IF(ISNUMBER(Datos!Q16),Datos!Q16," - ")</f>
        <v>3</v>
      </c>
      <c r="Y16" s="334">
        <f t="shared" ref="Y16:Y17" si="7">SUM(W16:X16)</f>
        <v>95</v>
      </c>
      <c r="Z16" s="335" t="str">
        <f>IF(ISNUMBER(Datos!CC16),Datos!CC16," - ")</f>
        <v xml:space="preserve"> - </v>
      </c>
      <c r="AA16" s="332">
        <f>IF(ISNUMBER(IF(D_I="SI",Datos!L16,Datos!L16+Datos!AF16)),IF(D_I="SI",Datos!L16,Datos!L16+Datos!AF16)," - ")</f>
        <v>186</v>
      </c>
      <c r="AB16" s="334">
        <f>IF(ISNUMBER(Datos!R16),Datos!R16," - ")</f>
        <v>17</v>
      </c>
      <c r="AC16" s="334">
        <f t="shared" si="6"/>
        <v>203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0.94845360824742264</v>
      </c>
      <c r="AM16" s="260">
        <f>IF(ISNUMBER(((NºAsuntos!I16/NºAsuntos!G16)*11)/factor_trimestre),((NºAsuntos!I16/NºAsuntos!G16)*11)/factor_trimestre," - ")</f>
        <v>6.0652173913043486</v>
      </c>
      <c r="AN16" s="244">
        <f>IF(ISNUMBER('Resol  Asuntos'!D16/NºAsuntos!G16),'Resol  Asuntos'!D16/NºAsuntos!G16," - ")</f>
        <v>0.25</v>
      </c>
      <c r="AO16" s="245">
        <f>IF(ISNUMBER((NºAsuntos!C16+NºAsuntos!E16)/NºAsuntos!G16),(NºAsuntos!C16+NºAsuntos!E16)/NºAsuntos!G16," - ")</f>
        <v>3.0217391304347827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181</v>
      </c>
      <c r="G18" s="866">
        <f>SUBTOTAL(9,G15:G17)</f>
        <v>182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v>
      </c>
      <c r="X18" s="867">
        <f t="shared" si="11"/>
        <v>3</v>
      </c>
      <c r="Y18" s="868">
        <f t="shared" si="11"/>
        <v>95</v>
      </c>
      <c r="Z18" s="868">
        <f t="shared" si="11"/>
        <v>0</v>
      </c>
      <c r="AA18" s="868">
        <f t="shared" si="11"/>
        <v>190</v>
      </c>
      <c r="AB18" s="868">
        <f t="shared" si="11"/>
        <v>17</v>
      </c>
      <c r="AC18" s="868">
        <f t="shared" si="11"/>
        <v>207</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0.92</v>
      </c>
      <c r="AM18" s="874">
        <f>IF(ISNUMBER(((NºAsuntos!I18/NºAsuntos!G18)*11)/factor_trimestre),((NºAsuntos!I18/NºAsuntos!G18)*11)/factor_trimestre," - ")</f>
        <v>6.195652173913043</v>
      </c>
      <c r="AN18" s="875">
        <f>IF(ISNUMBER('Resol  Asuntos'!D18/NºAsuntos!G18),'Resol  Asuntos'!D18/NºAsuntos!G18," - ")</f>
        <v>0.25</v>
      </c>
      <c r="AO18" s="876">
        <f>IF(ISNUMBER((NºAsuntos!C18+NºAsuntos!E18)/NºAsuntos!G18),(NºAsuntos!C18+NºAsuntos!E18)/NºAsuntos!G18," - ")</f>
        <v>3.0652173913043477</v>
      </c>
      <c r="AP18" s="877" t="str">
        <f t="shared" si="2"/>
        <v xml:space="preserve"> - </v>
      </c>
      <c r="AQ18" s="877">
        <f>IF(ISNUMBER((H18-W18+K18)/(F18)),(H18-W18+K18)/(F18)," - ")</f>
        <v>-0.50828729281767959</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182</v>
      </c>
      <c r="G19" s="821">
        <f t="shared" si="13"/>
        <v>183</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v>
      </c>
      <c r="X19" s="821">
        <f t="shared" si="14"/>
        <v>20</v>
      </c>
      <c r="Y19" s="828">
        <f t="shared" si="14"/>
        <v>113</v>
      </c>
      <c r="Z19" s="828">
        <f t="shared" si="14"/>
        <v>0</v>
      </c>
      <c r="AA19" s="828">
        <f t="shared" si="14"/>
        <v>191</v>
      </c>
      <c r="AB19" s="828">
        <f t="shared" si="14"/>
        <v>220</v>
      </c>
      <c r="AC19" s="828">
        <f t="shared" si="14"/>
        <v>208</v>
      </c>
      <c r="AD19" s="828">
        <f t="shared" si="14"/>
        <v>0</v>
      </c>
      <c r="AE19" s="830">
        <f t="shared" si="14"/>
        <v>0</v>
      </c>
      <c r="AF19" s="831">
        <f t="shared" si="14"/>
        <v>0</v>
      </c>
      <c r="AG19" s="832">
        <f t="shared" si="14"/>
        <v>0</v>
      </c>
      <c r="AH19" s="830">
        <f t="shared" si="14"/>
        <v>0</v>
      </c>
      <c r="AI19" s="820">
        <f t="shared" si="14"/>
        <v>154</v>
      </c>
      <c r="AJ19" s="820">
        <f t="shared" si="14"/>
        <v>0</v>
      </c>
      <c r="AK19" s="830">
        <f t="shared" si="14"/>
        <v>0</v>
      </c>
      <c r="AL19" s="884">
        <f>IF(ISNUMBER(NºAsuntos!G19/NºAsuntos!E19),NºAsuntos!G19/NºAsuntos!E19," - ")</f>
        <v>0.87076923076923074</v>
      </c>
      <c r="AM19" s="885">
        <f>IF(ISNUMBER(((NºAsuntos!I19/NºAsuntos!G19)*11)/factor_trimestre),((NºAsuntos!I19/NºAsuntos!G19)*11)/factor_trimestre," - ")</f>
        <v>3.7208480565371023</v>
      </c>
      <c r="AN19" s="885">
        <f>IF(ISNUMBER('Resol  Asuntos'!D19/NºAsuntos!G19),'Resol  Asuntos'!D19/NºAsuntos!G19," - ")</f>
        <v>0.54416961130742048</v>
      </c>
      <c r="AO19" s="886">
        <f>IF(ISNUMBER((NºAsuntos!C19+NºAsuntos!E19)/NºAsuntos!G19),(NºAsuntos!C19+NºAsuntos!E19)/NºAsuntos!G19," - ")</f>
        <v>2.2402826855123674</v>
      </c>
      <c r="AP19" s="887" t="str">
        <f t="shared" si="2"/>
        <v xml:space="preserve"> - </v>
      </c>
      <c r="AQ19" s="888">
        <f>IF(OR(ISNUMBER(FIND("01",Criterios!A8,1)),ISNUMBER(FIND("02",Criterios!A8,1)),ISNUMBER(FIND("03",Criterios!A8,1)),ISNUMBER(FIND("04",Criterios!A8,1))),(I19-W19+K19)/(F19-K19),(H19-W19+K19)/(F19-K19))</f>
        <v>-0.51098901098901095</v>
      </c>
      <c r="AR19" s="889">
        <f>IF(ISNUMBER((Datos!P19-Datos!Q19)/(Datos!R19-Datos!P19+Datos!Q19)),(Datos!P19-Datos!Q19)/(Datos!R19-Datos!P19+Datos!Q19)," - ")</f>
        <v>0.25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103.92304845413264</v>
      </c>
      <c r="G21" s="253">
        <f>IF(ISNUMBER(STDEV(G8:G18)),STDEV(G8:G18),"-")</f>
        <v>98.864553809745189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50.026992713933943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62.143918983812625</v>
      </c>
      <c r="AJ21" s="252">
        <f t="shared" si="18"/>
        <v>0</v>
      </c>
      <c r="AK21" s="254">
        <f t="shared" si="18"/>
        <v>0</v>
      </c>
      <c r="AL21" s="249">
        <f t="shared" si="18"/>
        <v>0.3773572871768916</v>
      </c>
      <c r="AM21" s="250">
        <f t="shared" si="18"/>
        <v>1.8975134676225496</v>
      </c>
      <c r="AN21" s="250">
        <f t="shared" si="18"/>
        <v>0.32252437326011058</v>
      </c>
      <c r="AO21" s="251">
        <f t="shared" si="18"/>
        <v>0.63250448920751623</v>
      </c>
      <c r="AP21" s="291" t="str">
        <f t="shared" si="18"/>
        <v>-</v>
      </c>
      <c r="AQ21" s="292">
        <f t="shared" si="18"/>
        <v>0.34769338964421381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ZkXgLYk3i3al5fPYP8HNSpghjjZimgQkh/j5or9NZhGLkuD2hwc/hC9D5QpkLs7oeRVitiyjGilpQeMVXXcyA==" saltValue="dxty79/3YidlDaxgdYjM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CISTIERNA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3.6428571428571428</v>
      </c>
      <c r="I12" s="350">
        <f>IF(ISNUMBER((Tasas!C12-Datos!BE12)/Datos!BE12),(Tasas!C12-Datos!BE12)/Datos!BE12," - ")</f>
        <v>-0.19883040935672522</v>
      </c>
      <c r="J12" s="349">
        <f>IF(ISNUMBER((Tasas!D12-Datos!BF12)/Datos!BF12),(Tasas!D12-Datos!BF12)/Datos!BF12," - ")</f>
        <v>0.95285087719298245</v>
      </c>
      <c r="K12" s="351">
        <f>IF(ISNUMBER((Tasas!E12-Datos!BG12)/Datos!BG12),(Tasas!E12-Datos!BG12)/Datos!BG12," - ")</f>
        <v>-0.10189174002622219</v>
      </c>
      <c r="M12" t="e">
        <f>IF(Monitorios="SI",Datos!CE12,0)</f>
        <v>#REF!</v>
      </c>
      <c r="N12" t="e">
        <f>IF(Monitorios="SI",Datos!CF12,0)</f>
        <v>#REF!</v>
      </c>
      <c r="O12" t="e">
        <f>IF(Monitorios="SI",Datos!CG12,0)</f>
        <v>#REF!</v>
      </c>
      <c r="P12" t="e">
        <f>IF(Monitorios="SI",Datos!CH12,0)</f>
        <v>#REF!</v>
      </c>
      <c r="Q12">
        <f>IF(J_V="SI",0,Datos!AG12)</f>
        <v>9</v>
      </c>
      <c r="R12">
        <f>IF(J_V="SI",0,Datos!AH12)</f>
        <v>9</v>
      </c>
      <c r="S12">
        <f>IF(J_V="SI",0,Datos!AI12)</f>
        <v>13</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3.6785714285714284</v>
      </c>
      <c r="I13" s="357">
        <f>IF(ISNUMBER((Tasas!C13-Datos!BE13)/Datos!BE13),(Tasas!C13-Datos!BE13)/Datos!BE13," - ")</f>
        <v>-0.19804392088423511</v>
      </c>
      <c r="J13" s="355">
        <f>IF(ISNUMBER((Tasas!D13-Datos!BF13)/Datos!BF13),(Tasas!D13-Datos!BF13)/Datos!BF13," - ")</f>
        <v>0.95756980802792313</v>
      </c>
      <c r="K13" s="358">
        <f>IF(ISNUMBER((Tasas!E13-Datos!BG13)/Datos!BG13),(Tasas!E13-Datos!BG13)/Datos!BG13," - ")</f>
        <v>-0.10148869967021301</v>
      </c>
      <c r="M13" t="e">
        <f>IF(Monitorios="SI",Datos!CE13,0)</f>
        <v>#REF!</v>
      </c>
      <c r="N13" t="e">
        <f>IF(Monitorios="SI",Datos!CF13,0)</f>
        <v>#REF!</v>
      </c>
      <c r="O13" t="e">
        <f>IF(Monitorios="SI",Datos!CG13,0)</f>
        <v>#REF!</v>
      </c>
      <c r="P13" t="e">
        <f>IF(Monitorios="SI",Datos!CH13,0)</f>
        <v>#REF!</v>
      </c>
      <c r="Q13">
        <f>IF(J_V="SI",0,Datos!AG13)</f>
        <v>9</v>
      </c>
      <c r="R13">
        <f>IF(J_V="SI",0,Datos!AH13)</f>
        <v>9</v>
      </c>
      <c r="S13">
        <f>IF(J_V="SI",0,Datos!AI13)</f>
        <v>13</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-7.6530612244897961E-2</v>
      </c>
      <c r="E16" s="348">
        <f>IF(ISNUMBER(
   IF(D_I="SI",(Datos!J16-Datos!T16)/Datos!T16,(Datos!J16+Datos!AD16-(Datos!T16+Datos!AL16))/(Datos!T16+Datos!AL16))
     ),IF(D_I="SI",(Datos!J16-Datos!T16)/Datos!T16,(Datos!J16+Datos!AD16-(Datos!T16+Datos!AL16))/(Datos!T16+Datos!AL16))," - ")</f>
        <v>0.3108108108108108</v>
      </c>
      <c r="F16" s="348">
        <f>IF(ISNUMBER(
   IF(D_I="SI",(Datos!K16-Datos!U16)/Datos!U16,(Datos!K16+Datos!AE16-(Datos!U16+Datos!AM16))/(Datos!U16+Datos!AM16))
     ),IF(D_I="SI",(Datos!K16-Datos!U16)/Datos!U16,(Datos!K16+Datos!AE16-(Datos!U16+Datos!AM16))/(Datos!U16+Datos!AM16))," - ")</f>
        <v>0.37313432835820898</v>
      </c>
      <c r="G16" s="349">
        <f>IF(ISNUMBER(
   IF(D_I="SI",(Datos!L16-Datos!V16)/Datos!V16,(Datos!L16+Datos!AF16-(Datos!V16+Datos!AN16))/(Datos!V16+Datos!AN16))
     ),IF(D_I="SI",(Datos!L16-Datos!V16)/Datos!V16,(Datos!L16+Datos!AF16-(Datos!V16+Datos!AN16))/(Datos!V16+Datos!AN16))," - ")</f>
        <v>-8.3743842364532015E-2</v>
      </c>
      <c r="H16" s="230">
        <f>IF(ISNUMBER((Datos!M16-Datos!W16)/Datos!W16),(Datos!M16-Datos!W16)/Datos!W16," - ")</f>
        <v>9.5238095238095233E-2</v>
      </c>
      <c r="I16" s="350">
        <f>IF(ISNUMBER((Tasas!C16-Datos!BE16)/Datos!BE16),(Tasas!C16-Datos!BE16)/Datos!BE16," - ")</f>
        <v>-0.33272649389590919</v>
      </c>
      <c r="J16" s="349">
        <f>IF(ISNUMBER((Tasas!D16-Datos!BF16)/Datos!BF16),(Tasas!D16-Datos!BF16)/Datos!BF16," - ")</f>
        <v>-0.20238095238095241</v>
      </c>
      <c r="K16" s="351">
        <f>IF(ISNUMBER((Tasas!E16-Datos!BG16)/Datos!BG16),(Tasas!E16-Datos!BG16)/Datos!BG16," - ")</f>
        <v>-0.25016103059581313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-9.4527363184079602E-2</v>
      </c>
      <c r="E18" s="354">
        <f>IF(ISNUMBER(
   IF(D_I="SI",(Datos!J18-Datos!T18)/Datos!T18,(Datos!J18+Datos!AD18-(Datos!T18+Datos!AL18))/(Datos!T18+Datos!AL18))
     ),IF(D_I="SI",(Datos!J18-Datos!T18)/Datos!T18,(Datos!J18+Datos!AD18-(Datos!T18+Datos!AL18))/(Datos!T18+Datos!AL18))," - ")</f>
        <v>0.31578947368421051</v>
      </c>
      <c r="F18" s="354">
        <f>IF(ISNUMBER(
   IF(D_I="SI",(Datos!K18-Datos!U18)/Datos!U18,(Datos!K18+Datos!AE18-(Datos!U18+Datos!AM18))/(Datos!U18+Datos!AM18))
     ),IF(D_I="SI",(Datos!K18-Datos!U18)/Datos!U18,(Datos!K18+Datos!AE18-(Datos!U18+Datos!AM18))/(Datos!U18+Datos!AM18))," - ")</f>
        <v>0.27777777777777779</v>
      </c>
      <c r="G18" s="355">
        <f>IF(ISNUMBER(
   IF(D_I="SI",(Datos!L18-Datos!V18)/Datos!V18,(Datos!L18+Datos!AF18-(Datos!V18+Datos!AN18))/(Datos!V18+Datos!AN18))
     ),IF(D_I="SI",(Datos!L18-Datos!V18)/Datos!V18,(Datos!L18+Datos!AF18-(Datos!V18+Datos!AN18))/(Datos!V18+Datos!AN18))," - ")</f>
        <v>-7.3170731707317069E-2</v>
      </c>
      <c r="H18" s="356">
        <f>IF(ISNUMBER((Datos!M18-Datos!W18)/Datos!W18),(Datos!M18-Datos!W18)/Datos!W18," - ")</f>
        <v>9.5238095238095233E-2</v>
      </c>
      <c r="I18" s="357">
        <f>IF(ISNUMBER((Tasas!C18-Datos!BE18)/Datos!BE18),(Tasas!C18-Datos!BE18)/Datos!BE18," - ")</f>
        <v>-0.27465535524920476</v>
      </c>
      <c r="J18" s="355">
        <f>IF(ISNUMBER((Tasas!D18-Datos!BF18)/Datos!BF18),(Tasas!D18-Datos!BF18)/Datos!BF18," - ")</f>
        <v>-0.1428571428571429</v>
      </c>
      <c r="K18" s="358">
        <f>IF(ISNUMBER((Tasas!E18-Datos!BG18)/Datos!BG18),(Tasas!E18-Datos!BG18)/Datos!BG18," - ")</f>
        <v>-0.20326479359598185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-0.18253968253968253</v>
      </c>
      <c r="E19" s="363">
        <f>IF(ISNUMBER(
   IF(J_V="SI",(Datos!J19-Datos!T19)/Datos!T19,(Datos!J19+Datos!Z19-(Datos!T19+Datos!AH19))/(Datos!T19+Datos!AH19))
     ),IF(J_V="SI",(Datos!J19-Datos!T19)/Datos!T19,(Datos!J19+Datos!Z19-(Datos!T19+Datos!AH19))/(Datos!T19+Datos!AH19))," - ")</f>
        <v>0.80555555555555558</v>
      </c>
      <c r="F19" s="363">
        <f>IF(ISNUMBER(
   IF(J_V="SI",(Datos!K19-Datos!U19)/Datos!U19,(Datos!K19+Datos!AA19-(Datos!U19+Datos!AI19))/(Datos!U19+Datos!AI19))
     ),IF(J_V="SI",(Datos!K19-Datos!U19)/Datos!U19,(Datos!K19+Datos!AA19-(Datos!U19+Datos!AI19))/(Datos!U19+Datos!AI19))," - ")</f>
        <v>0.35406698564593303</v>
      </c>
      <c r="G19" s="364">
        <f>IF(ISNUMBER(
   IF(J_V="SI",(Datos!L19-Datos!V19)/Datos!V19,(Datos!L19+Datos!AB19-(Datos!V19+Datos!AJ19))/(Datos!V19+Datos!AJ19))
     ),IF(J_V="SI",(Datos!L19-Datos!V19)/Datos!V19,(Datos!L19+Datos!AB19-(Datos!V19+Datos!AJ19))/(Datos!V19+Datos!AJ19))," - ")</f>
        <v>5.7306590257879654E-3</v>
      </c>
      <c r="H19" s="365">
        <f>IF(ISNUMBER((Datos!M19-Datos!W19)/Datos!W19),(Datos!M19-Datos!W19)/Datos!W19," - ")</f>
        <v>2.1428571428571428</v>
      </c>
      <c r="I19" s="362">
        <f>IF(ISNUMBER((Tasas!C19-Datos!BE19)/Datos!BE19),(Tasas!C19-Datos!BE19)/Datos!BE19," - ")</f>
        <v>-0.25725191612583154</v>
      </c>
      <c r="J19" s="363">
        <f>IF(ISNUMBER((Tasas!D19-Datos!BF19)/Datos!BF19),(Tasas!D19-Datos!BF19)/Datos!BF19," - ")</f>
        <v>0.64828186613407068</v>
      </c>
      <c r="K19" s="364">
        <f>IF(ISNUMBER((Tasas!E19-Datos!BG19)/Datos!BG19),(Tasas!E19-Datos!BG19)/Datos!BG19," - ")</f>
        <v>-0.1608977038134681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0.41259816596763105</v>
      </c>
      <c r="E21" s="278">
        <f t="shared" si="1"/>
        <v>0.10781995362301174</v>
      </c>
      <c r="F21" s="278">
        <f t="shared" si="1"/>
        <v>0.76673624374542515</v>
      </c>
      <c r="G21" s="279">
        <f t="shared" si="1"/>
        <v>0.62267004717924612</v>
      </c>
      <c r="H21" s="285">
        <f t="shared" si="1"/>
        <v>2.0585802729028768</v>
      </c>
      <c r="I21" s="277">
        <f t="shared" si="1"/>
        <v>6.5229828894243294E-2</v>
      </c>
      <c r="J21" s="278">
        <f t="shared" si="1"/>
        <v>0.65160872962478356</v>
      </c>
      <c r="K21" s="279">
        <f t="shared" si="1"/>
        <v>7.4677938107570813E-2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ndQvRfc5a+c+jBAcivVK+3ilT5YILuWXT1774YOMt4sKHujNIx5T2kfYzlj4+x5chlB03BbJTVxG4DylUMwcQ==" saltValue="4EX1txR6BWcCXPSTBU2j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